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Business Manager Services\Business Mgmt. Services District Specific\North River\2024-25\Month End\February\"/>
    </mc:Choice>
  </mc:AlternateContent>
  <xr:revisionPtr revIDLastSave="0" documentId="13_ncr:1_{D215FFCD-1A43-4EA4-B45E-9E4D62B96AAA}" xr6:coauthVersionLast="47" xr6:coauthVersionMax="47" xr10:uidLastSave="{00000000-0000-0000-0000-000000000000}"/>
  <bookViews>
    <workbookView xWindow="28680" yWindow="-15" windowWidth="29040" windowHeight="15840" tabRatio="424" xr2:uid="{00000000-000D-0000-FFFF-FFFF00000000}"/>
  </bookViews>
  <sheets>
    <sheet name="Fund Balance Projection" sheetId="1" r:id="rId1"/>
    <sheet name="Summary" sheetId="2" r:id="rId2"/>
  </sheets>
  <definedNames>
    <definedName name="_xlnm.Print_Area" localSheetId="0">'Fund Balance Projection'!$A$1:$P$70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D21" i="1"/>
  <c r="D22" i="1"/>
  <c r="D20" i="1"/>
  <c r="D49" i="1"/>
  <c r="D50" i="1"/>
  <c r="D48" i="1"/>
  <c r="J51" i="1"/>
  <c r="J5" i="1"/>
  <c r="I5" i="2" s="1"/>
  <c r="I5" i="1"/>
  <c r="H5" i="2" s="1"/>
  <c r="H5" i="1"/>
  <c r="G5" i="2" s="1"/>
  <c r="G5" i="1"/>
  <c r="F5" i="2" s="1"/>
  <c r="F5" i="1"/>
  <c r="E5" i="2" s="1"/>
  <c r="H4" i="2"/>
  <c r="H51" i="1"/>
  <c r="G51" i="1"/>
  <c r="F51" i="1"/>
  <c r="E38" i="1"/>
  <c r="E51" i="1"/>
  <c r="E56" i="1"/>
  <c r="P55" i="1"/>
  <c r="Q55" i="1" s="1"/>
  <c r="R55" i="1" s="1"/>
  <c r="Q53" i="1"/>
  <c r="R53" i="1" s="1"/>
  <c r="Q54" i="1"/>
  <c r="K15" i="1"/>
  <c r="L15" i="1"/>
  <c r="M15" i="1"/>
  <c r="N15" i="1"/>
  <c r="O15" i="1"/>
  <c r="O17" i="1"/>
  <c r="Q17" i="1" s="1"/>
  <c r="R17" i="1" s="1"/>
  <c r="K12" i="1"/>
  <c r="L12" i="1"/>
  <c r="M12" i="1"/>
  <c r="N12" i="1"/>
  <c r="O12" i="1"/>
  <c r="E4" i="2"/>
  <c r="F4" i="2"/>
  <c r="G4" i="2"/>
  <c r="I4" i="2"/>
  <c r="J4" i="2"/>
  <c r="K4" i="2"/>
  <c r="L4" i="2"/>
  <c r="M4" i="2"/>
  <c r="N4" i="2"/>
  <c r="O4" i="2"/>
  <c r="D4" i="2"/>
  <c r="E40" i="1"/>
  <c r="C8" i="2"/>
  <c r="B8" i="2"/>
  <c r="O11" i="1"/>
  <c r="N11" i="1"/>
  <c r="M11" i="1"/>
  <c r="L11" i="1"/>
  <c r="K11" i="1"/>
  <c r="A1" i="2"/>
  <c r="O16" i="1"/>
  <c r="Q16" i="1" s="1"/>
  <c r="R16" i="1" s="1"/>
  <c r="P42" i="1"/>
  <c r="Q42" i="1" s="1"/>
  <c r="R42" i="1" s="1"/>
  <c r="R54" i="1"/>
  <c r="Q52" i="1"/>
  <c r="R52" i="1" s="1"/>
  <c r="C5" i="2"/>
  <c r="D5" i="2"/>
  <c r="J5" i="2"/>
  <c r="K5" i="2"/>
  <c r="L5" i="2"/>
  <c r="M5" i="2"/>
  <c r="N5" i="2"/>
  <c r="O5" i="2"/>
  <c r="B5" i="2"/>
  <c r="O9" i="1"/>
  <c r="O23" i="1"/>
  <c r="N23" i="1"/>
  <c r="M23" i="1"/>
  <c r="L23" i="1"/>
  <c r="K23" i="1"/>
  <c r="O14" i="1"/>
  <c r="N14" i="1"/>
  <c r="M14" i="1"/>
  <c r="L14" i="1"/>
  <c r="K14" i="1"/>
  <c r="O13" i="1"/>
  <c r="N13" i="1"/>
  <c r="M13" i="1"/>
  <c r="L13" i="1"/>
  <c r="K13" i="1"/>
  <c r="O10" i="1"/>
  <c r="N10" i="1"/>
  <c r="M10" i="1"/>
  <c r="L10" i="1"/>
  <c r="K10" i="1"/>
  <c r="M9" i="1"/>
  <c r="C57" i="1"/>
  <c r="C62" i="1" s="1"/>
  <c r="C63" i="1"/>
  <c r="C64" i="1" s="1"/>
  <c r="D63" i="1"/>
  <c r="D64" i="1" s="1"/>
  <c r="Q41" i="1"/>
  <c r="R41" i="1" s="1"/>
  <c r="N9" i="1"/>
  <c r="L9" i="1"/>
  <c r="K9" i="1"/>
  <c r="C34" i="1"/>
  <c r="C43" i="1" s="1"/>
  <c r="E60" i="1"/>
  <c r="K19" i="1"/>
  <c r="K18" i="1"/>
  <c r="K24" i="1"/>
  <c r="L24" i="1" s="1"/>
  <c r="M24" i="1" s="1"/>
  <c r="N24" i="1" s="1"/>
  <c r="E34" i="1"/>
  <c r="E43" i="1" s="1"/>
  <c r="F34" i="1"/>
  <c r="F43" i="1" s="1"/>
  <c r="K39" i="1"/>
  <c r="G34" i="1"/>
  <c r="G43" i="1" s="1"/>
  <c r="H34" i="1"/>
  <c r="H43" i="1" s="1"/>
  <c r="K33" i="1"/>
  <c r="K40" i="1"/>
  <c r="E57" i="1" l="1"/>
  <c r="P9" i="1"/>
  <c r="Q9" i="1" s="1"/>
  <c r="R9" i="1" s="1"/>
  <c r="G61" i="1"/>
  <c r="F6" i="2"/>
  <c r="P11" i="1"/>
  <c r="Q11" i="1" s="1"/>
  <c r="R11" i="1" s="1"/>
  <c r="P15" i="1"/>
  <c r="Q15" i="1" s="1"/>
  <c r="R15" i="1" s="1"/>
  <c r="P23" i="1"/>
  <c r="Q23" i="1" s="1"/>
  <c r="R23" i="1" s="1"/>
  <c r="P10" i="1"/>
  <c r="Q10" i="1" s="1"/>
  <c r="R10" i="1" s="1"/>
  <c r="B6" i="2"/>
  <c r="C61" i="1"/>
  <c r="C65" i="1" s="1"/>
  <c r="E62" i="1"/>
  <c r="D7" i="2"/>
  <c r="D6" i="2"/>
  <c r="E61" i="1"/>
  <c r="E65" i="1" s="1"/>
  <c r="E6" i="2"/>
  <c r="F61" i="1"/>
  <c r="B7" i="2"/>
  <c r="P13" i="1"/>
  <c r="Q13" i="1" s="1"/>
  <c r="R13" i="1" s="1"/>
  <c r="P14" i="1"/>
  <c r="Q14" i="1" s="1"/>
  <c r="R14" i="1" s="1"/>
  <c r="F56" i="1"/>
  <c r="D34" i="1"/>
  <c r="D43" i="1" s="1"/>
  <c r="P12" i="1"/>
  <c r="Q12" i="1" s="1"/>
  <c r="R12" i="1" s="1"/>
  <c r="D57" i="1"/>
  <c r="L33" i="1"/>
  <c r="M33" i="1" s="1"/>
  <c r="N33" i="1" s="1"/>
  <c r="K27" i="1"/>
  <c r="L27" i="1" s="1"/>
  <c r="K50" i="1"/>
  <c r="K48" i="1"/>
  <c r="L40" i="1"/>
  <c r="M40" i="1" s="1"/>
  <c r="L39" i="1"/>
  <c r="M39" i="1" s="1"/>
  <c r="K37" i="1"/>
  <c r="K32" i="1"/>
  <c r="L32" i="1" s="1"/>
  <c r="K29" i="1"/>
  <c r="L29" i="1" s="1"/>
  <c r="M29" i="1" s="1"/>
  <c r="K28" i="1"/>
  <c r="L28" i="1" s="1"/>
  <c r="D61" i="1"/>
  <c r="C6" i="2"/>
  <c r="K22" i="1"/>
  <c r="L22" i="1" s="1"/>
  <c r="K21" i="1"/>
  <c r="L21" i="1" s="1"/>
  <c r="G6" i="2"/>
  <c r="H61" i="1"/>
  <c r="O24" i="1"/>
  <c r="P24" i="1" s="1"/>
  <c r="K20" i="1"/>
  <c r="L20" i="1" s="1"/>
  <c r="L19" i="1"/>
  <c r="I34" i="1"/>
  <c r="L18" i="1"/>
  <c r="F60" i="1" l="1"/>
  <c r="D9" i="2"/>
  <c r="E72" i="1"/>
  <c r="F57" i="1"/>
  <c r="G56" i="1"/>
  <c r="C74" i="1"/>
  <c r="C72" i="1"/>
  <c r="B9" i="2"/>
  <c r="E74" i="1"/>
  <c r="C7" i="2"/>
  <c r="D62" i="1"/>
  <c r="D65" i="1" s="1"/>
  <c r="C9" i="2" s="1"/>
  <c r="M32" i="1"/>
  <c r="N32" i="1" s="1"/>
  <c r="Q24" i="1"/>
  <c r="R24" i="1" s="1"/>
  <c r="M27" i="1"/>
  <c r="N27" i="1" s="1"/>
  <c r="O27" i="1" s="1"/>
  <c r="M19" i="1"/>
  <c r="N19" i="1" s="1"/>
  <c r="O19" i="1" s="1"/>
  <c r="K51" i="1"/>
  <c r="L50" i="1"/>
  <c r="M50" i="1" s="1"/>
  <c r="N50" i="1" s="1"/>
  <c r="K49" i="1"/>
  <c r="L48" i="1"/>
  <c r="N40" i="1"/>
  <c r="N39" i="1"/>
  <c r="O39" i="1" s="1"/>
  <c r="K38" i="1"/>
  <c r="L38" i="1" s="1"/>
  <c r="L37" i="1"/>
  <c r="M37" i="1" s="1"/>
  <c r="N37" i="1" s="1"/>
  <c r="O33" i="1"/>
  <c r="K31" i="1"/>
  <c r="J34" i="1"/>
  <c r="J43" i="1" s="1"/>
  <c r="I6" i="2" s="1"/>
  <c r="K30" i="1"/>
  <c r="N29" i="1"/>
  <c r="O29" i="1" s="1"/>
  <c r="M28" i="1"/>
  <c r="M22" i="1"/>
  <c r="M21" i="1"/>
  <c r="N21" i="1" s="1"/>
  <c r="M20" i="1"/>
  <c r="N20" i="1" s="1"/>
  <c r="I43" i="1"/>
  <c r="M18" i="1"/>
  <c r="G57" i="1" l="1"/>
  <c r="H56" i="1"/>
  <c r="F62" i="1"/>
  <c r="F65" i="1" s="1"/>
  <c r="E7" i="2"/>
  <c r="D72" i="1"/>
  <c r="D74" i="1"/>
  <c r="P39" i="1"/>
  <c r="Q39" i="1" s="1"/>
  <c r="R39" i="1" s="1"/>
  <c r="O32" i="1"/>
  <c r="P32" i="1" s="1"/>
  <c r="P19" i="1"/>
  <c r="Q19" i="1" s="1"/>
  <c r="R19" i="1" s="1"/>
  <c r="O50" i="1"/>
  <c r="P50" i="1" s="1"/>
  <c r="Q50" i="1" s="1"/>
  <c r="R50" i="1" s="1"/>
  <c r="L51" i="1"/>
  <c r="M51" i="1" s="1"/>
  <c r="L49" i="1"/>
  <c r="M49" i="1" s="1"/>
  <c r="M48" i="1"/>
  <c r="O40" i="1"/>
  <c r="P40" i="1" s="1"/>
  <c r="Q40" i="1" s="1"/>
  <c r="R40" i="1" s="1"/>
  <c r="M38" i="1"/>
  <c r="N38" i="1" s="1"/>
  <c r="O37" i="1"/>
  <c r="P37" i="1" s="1"/>
  <c r="J61" i="1"/>
  <c r="P33" i="1"/>
  <c r="Q33" i="1" s="1"/>
  <c r="R33" i="1" s="1"/>
  <c r="L31" i="1"/>
  <c r="K34" i="1"/>
  <c r="K43" i="1" s="1"/>
  <c r="L30" i="1"/>
  <c r="P29" i="1"/>
  <c r="Q29" i="1" s="1"/>
  <c r="R29" i="1" s="1"/>
  <c r="N28" i="1"/>
  <c r="P27" i="1"/>
  <c r="Q27" i="1" s="1"/>
  <c r="R27" i="1" s="1"/>
  <c r="O21" i="1"/>
  <c r="P21" i="1" s="1"/>
  <c r="N22" i="1"/>
  <c r="O20" i="1"/>
  <c r="N18" i="1"/>
  <c r="O18" i="1" s="1"/>
  <c r="H6" i="2"/>
  <c r="I61" i="1"/>
  <c r="E9" i="2" l="1"/>
  <c r="G60" i="1"/>
  <c r="F72" i="1"/>
  <c r="F74" i="1"/>
  <c r="H57" i="1"/>
  <c r="I56" i="1"/>
  <c r="J56" i="1" s="1"/>
  <c r="J57" i="1" s="1"/>
  <c r="F7" i="2"/>
  <c r="G62" i="1"/>
  <c r="L34" i="1"/>
  <c r="L43" i="1" s="1"/>
  <c r="N49" i="1"/>
  <c r="O49" i="1" s="1"/>
  <c r="Q32" i="1"/>
  <c r="R32" i="1" s="1"/>
  <c r="N51" i="1"/>
  <c r="N48" i="1"/>
  <c r="O38" i="1"/>
  <c r="P38" i="1" s="1"/>
  <c r="Q37" i="1"/>
  <c r="R37" i="1" s="1"/>
  <c r="M31" i="1"/>
  <c r="K61" i="1"/>
  <c r="M30" i="1"/>
  <c r="J6" i="2"/>
  <c r="O28" i="1"/>
  <c r="P28" i="1" s="1"/>
  <c r="Q21" i="1"/>
  <c r="R21" i="1" s="1"/>
  <c r="O22" i="1"/>
  <c r="P20" i="1"/>
  <c r="Q20" i="1" s="1"/>
  <c r="R20" i="1" s="1"/>
  <c r="P18" i="1"/>
  <c r="Q18" i="1" s="1"/>
  <c r="R18" i="1" s="1"/>
  <c r="G65" i="1" l="1"/>
  <c r="I7" i="2"/>
  <c r="J62" i="1"/>
  <c r="K56" i="1"/>
  <c r="K57" i="1" s="1"/>
  <c r="H62" i="1"/>
  <c r="G7" i="2"/>
  <c r="H60" i="1"/>
  <c r="G72" i="1"/>
  <c r="F9" i="2"/>
  <c r="G74" i="1"/>
  <c r="I57" i="1"/>
  <c r="L61" i="1"/>
  <c r="K6" i="2"/>
  <c r="O48" i="1"/>
  <c r="P48" i="1" s="1"/>
  <c r="O51" i="1"/>
  <c r="P51" i="1" s="1"/>
  <c r="P49" i="1"/>
  <c r="Q49" i="1" s="1"/>
  <c r="R49" i="1" s="1"/>
  <c r="Q38" i="1"/>
  <c r="R38" i="1" s="1"/>
  <c r="N31" i="1"/>
  <c r="O31" i="1" s="1"/>
  <c r="N30" i="1"/>
  <c r="O30" i="1" s="1"/>
  <c r="M34" i="1"/>
  <c r="M43" i="1" s="1"/>
  <c r="M61" i="1" s="1"/>
  <c r="Q28" i="1"/>
  <c r="R28" i="1" s="1"/>
  <c r="P22" i="1"/>
  <c r="Q22" i="1" s="1"/>
  <c r="R22" i="1" s="1"/>
  <c r="J7" i="2" l="1"/>
  <c r="K62" i="1"/>
  <c r="H65" i="1"/>
  <c r="O34" i="1"/>
  <c r="O43" i="1" s="1"/>
  <c r="H7" i="2"/>
  <c r="I62" i="1"/>
  <c r="L56" i="1"/>
  <c r="Q51" i="1"/>
  <c r="R51" i="1" s="1"/>
  <c r="Q48" i="1"/>
  <c r="R48" i="1" s="1"/>
  <c r="P31" i="1"/>
  <c r="Q31" i="1" s="1"/>
  <c r="R31" i="1" s="1"/>
  <c r="L6" i="2"/>
  <c r="P30" i="1"/>
  <c r="Q30" i="1" s="1"/>
  <c r="N34" i="1"/>
  <c r="N43" i="1" s="1"/>
  <c r="O61" i="1"/>
  <c r="N6" i="2"/>
  <c r="G9" i="2" l="1"/>
  <c r="I60" i="1"/>
  <c r="I65" i="1" s="1"/>
  <c r="H72" i="1"/>
  <c r="H74" i="1"/>
  <c r="L57" i="1"/>
  <c r="M56" i="1"/>
  <c r="P34" i="1"/>
  <c r="Q34" i="1" s="1"/>
  <c r="R34" i="1" s="1"/>
  <c r="N61" i="1"/>
  <c r="M6" i="2"/>
  <c r="I74" i="1" l="1"/>
  <c r="H9" i="2"/>
  <c r="J60" i="1"/>
  <c r="J65" i="1" s="1"/>
  <c r="I72" i="1"/>
  <c r="L62" i="1"/>
  <c r="K7" i="2"/>
  <c r="M57" i="1"/>
  <c r="N56" i="1"/>
  <c r="N57" i="1" s="1"/>
  <c r="P43" i="1"/>
  <c r="J74" i="1" l="1"/>
  <c r="I9" i="2"/>
  <c r="K60" i="1"/>
  <c r="K65" i="1" s="1"/>
  <c r="J72" i="1"/>
  <c r="M62" i="1"/>
  <c r="L7" i="2"/>
  <c r="O56" i="1"/>
  <c r="N62" i="1"/>
  <c r="M7" i="2"/>
  <c r="Q43" i="1"/>
  <c r="R43" i="1" s="1"/>
  <c r="P61" i="1"/>
  <c r="O6" i="2"/>
  <c r="L60" i="1" l="1"/>
  <c r="L65" i="1" s="1"/>
  <c r="J9" i="2"/>
  <c r="K74" i="1"/>
  <c r="K72" i="1"/>
  <c r="P56" i="1"/>
  <c r="O57" i="1"/>
  <c r="O62" i="1" l="1"/>
  <c r="N7" i="2"/>
  <c r="P57" i="1"/>
  <c r="Q56" i="1"/>
  <c r="R56" i="1" s="1"/>
  <c r="K9" i="2"/>
  <c r="M60" i="1"/>
  <c r="M65" i="1" s="1"/>
  <c r="L72" i="1"/>
  <c r="L74" i="1"/>
  <c r="M74" i="1" l="1"/>
  <c r="N60" i="1"/>
  <c r="N65" i="1" s="1"/>
  <c r="L9" i="2"/>
  <c r="M72" i="1"/>
  <c r="O7" i="2"/>
  <c r="P62" i="1"/>
  <c r="Q57" i="1"/>
  <c r="R57" i="1" s="1"/>
  <c r="O60" i="1" l="1"/>
  <c r="O65" i="1" s="1"/>
  <c r="N72" i="1"/>
  <c r="N74" i="1"/>
  <c r="M9" i="2"/>
  <c r="O72" i="1" l="1"/>
  <c r="O74" i="1"/>
  <c r="P60" i="1"/>
  <c r="P65" i="1" s="1"/>
  <c r="N9" i="2"/>
  <c r="O9" i="2" l="1"/>
  <c r="P74" i="1"/>
  <c r="P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  <author>tc={90BEBA4A-4318-4F66-90F0-8EC11130EBC0}</author>
    <author>Julie Rupe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Budgeted enrollment numbers.
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Insert the Average FTE
here and update monthly.
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</rPr>
          <t>This column is your budgeted figures.  It would only change if you did a budget extension</t>
        </r>
      </text>
    </comment>
    <comment ref="D7" authorId="0" shapeId="0" xr:uid="{00000000-0006-0000-00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D27" authorId="1" shapeId="0" xr:uid="{90BEBA4A-4318-4F66-90F0-8EC11130EBC0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Grant is still not approved</t>
      </text>
    </comment>
    <comment ref="E35" authorId="2" shapeId="0" xr:uid="{04B65095-5F0D-43A6-BD36-FC1A6C819444}">
      <text>
        <r>
          <rPr>
            <b/>
            <sz val="9"/>
            <color indexed="81"/>
            <rFont val="Tahoma"/>
            <family val="2"/>
          </rPr>
          <t>Julie Rupe:</t>
        </r>
        <r>
          <rPr>
            <sz val="9"/>
            <color indexed="81"/>
            <rFont val="Tahoma"/>
            <family val="2"/>
          </rPr>
          <t xml:space="preserve">
the formulas for tax collection is based on the percentages noted in the gray boxes.  You can update the % to match the historical collection percentage each month for your district
</t>
        </r>
      </text>
    </comment>
    <comment ref="D4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These columns should be adjusted as better estimates are determined.
</t>
        </r>
      </text>
    </comment>
    <comment ref="D6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This number is your ending fund balance from the prior year's F196 report.
</t>
        </r>
      </text>
    </comment>
    <comment ref="B63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Transfers and Redirections are not included in the expenditures.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</authors>
  <commentList>
    <comment ref="C3" authorId="0" shapeId="0" xr:uid="{00000000-0006-0000-01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C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Insert the Average FTE
here and update monthly.
</t>
        </r>
      </text>
    </comment>
  </commentList>
</comments>
</file>

<file path=xl/sharedStrings.xml><?xml version="1.0" encoding="utf-8"?>
<sst xmlns="http://schemas.openxmlformats.org/spreadsheetml/2006/main" count="186" uniqueCount="126">
  <si>
    <t>Total Revenues</t>
  </si>
  <si>
    <t>Food Serv</t>
  </si>
  <si>
    <t>January</t>
  </si>
  <si>
    <t>February</t>
  </si>
  <si>
    <t>March</t>
  </si>
  <si>
    <t>April</t>
  </si>
  <si>
    <t>Annual Amt.</t>
  </si>
  <si>
    <t>September</t>
  </si>
  <si>
    <t>October</t>
  </si>
  <si>
    <t>November</t>
  </si>
  <si>
    <t>December</t>
  </si>
  <si>
    <t>Breakfast</t>
  </si>
  <si>
    <t>May</t>
  </si>
  <si>
    <t>June</t>
  </si>
  <si>
    <t>July</t>
  </si>
  <si>
    <t>August</t>
  </si>
  <si>
    <t>Fed Title I-51</t>
  </si>
  <si>
    <t>Original Budget</t>
  </si>
  <si>
    <t>Expenditures</t>
  </si>
  <si>
    <t>4158-02</t>
  </si>
  <si>
    <t>APPORTIONMENT</t>
  </si>
  <si>
    <t>Regular Apportionment</t>
  </si>
  <si>
    <t>Apport Spec Ed</t>
  </si>
  <si>
    <t>Special Ed</t>
  </si>
  <si>
    <t>Learning Assist</t>
  </si>
  <si>
    <t>Teacher A P</t>
  </si>
  <si>
    <t>Transportation</t>
  </si>
  <si>
    <t>Fed Title II -52</t>
  </si>
  <si>
    <t>Current</t>
  </si>
  <si>
    <t>Grant</t>
  </si>
  <si>
    <t>4158-06</t>
  </si>
  <si>
    <t>Truancy</t>
  </si>
  <si>
    <t>4158-07</t>
  </si>
  <si>
    <t>School Food-Federal</t>
  </si>
  <si>
    <t>Current Estimate</t>
  </si>
  <si>
    <t>2000 Local Deposits</t>
  </si>
  <si>
    <t>Plus Revenue</t>
  </si>
  <si>
    <t>Minus Expenditures</t>
  </si>
  <si>
    <t>Fund Balance Projection  (Apportionment Based)</t>
  </si>
  <si>
    <t>Check Total</t>
  </si>
  <si>
    <t>REVENUE</t>
  </si>
  <si>
    <t>ENROLLMENT</t>
  </si>
  <si>
    <t>Beginning Fund Balance</t>
  </si>
  <si>
    <t>June 6%</t>
  </si>
  <si>
    <t>August 10%</t>
  </si>
  <si>
    <t>December 9.%</t>
  </si>
  <si>
    <t>February 9.%</t>
  </si>
  <si>
    <t>March 9.%</t>
  </si>
  <si>
    <t>April 9.%</t>
  </si>
  <si>
    <t>September 9.%</t>
  </si>
  <si>
    <t>October 8.%</t>
  </si>
  <si>
    <t>January 8.5%</t>
  </si>
  <si>
    <t>May 5.0%</t>
  </si>
  <si>
    <t>July 12.5%</t>
  </si>
  <si>
    <t>November 5.%</t>
  </si>
  <si>
    <t xml:space="preserve">2300 Interest </t>
  </si>
  <si>
    <t>Line 002 F-197</t>
  </si>
  <si>
    <t xml:space="preserve"> Line 001 F-197</t>
  </si>
  <si>
    <t xml:space="preserve">Other deposits: </t>
  </si>
  <si>
    <t>Federal, State, Non SPI</t>
  </si>
  <si>
    <t>Adjustments</t>
  </si>
  <si>
    <t xml:space="preserve">Payroll - Certificated </t>
  </si>
  <si>
    <t>Object 2</t>
  </si>
  <si>
    <t xml:space="preserve">Payroll - Classified </t>
  </si>
  <si>
    <t>Object 3</t>
  </si>
  <si>
    <t xml:space="preserve">Benefits </t>
  </si>
  <si>
    <t>Object 4</t>
  </si>
  <si>
    <t xml:space="preserve">Accounts Payable </t>
  </si>
  <si>
    <t>Objects 5 through 9</t>
  </si>
  <si>
    <t>Other cash decreases</t>
  </si>
  <si>
    <t xml:space="preserve"> per county</t>
  </si>
  <si>
    <t xml:space="preserve">Total Expenditures  </t>
  </si>
  <si>
    <t>Transfers or</t>
  </si>
  <si>
    <t xml:space="preserve"> Redirection of Apportionment</t>
  </si>
  <si>
    <t xml:space="preserve">Plus or Minus </t>
  </si>
  <si>
    <t>Balance to Budget Status Report</t>
  </si>
  <si>
    <t>Balance to Apportionment report</t>
  </si>
  <si>
    <t>Other Large Expenditures</t>
  </si>
  <si>
    <t>Assigned Fund balance</t>
  </si>
  <si>
    <t>Committed Fund Balance</t>
  </si>
  <si>
    <t>Minimum Fund balance Policy</t>
  </si>
  <si>
    <t>Unassigned Fund Balance</t>
  </si>
  <si>
    <t>Fund Balance Classifications</t>
  </si>
  <si>
    <t>State Revenue</t>
  </si>
  <si>
    <t>Other Revenues</t>
  </si>
  <si>
    <t>Federal Revenue</t>
  </si>
  <si>
    <t>Commodities</t>
  </si>
  <si>
    <t>Difference</t>
  </si>
  <si>
    <t>6998 Commodities</t>
  </si>
  <si>
    <t>year end journal entry</t>
  </si>
  <si>
    <t>add to the specific month</t>
  </si>
  <si>
    <t>4158-03</t>
  </si>
  <si>
    <t>NBCT</t>
  </si>
  <si>
    <t xml:space="preserve">Projected Ending Fund Balance </t>
  </si>
  <si>
    <t>Annual Projection</t>
  </si>
  <si>
    <t>SY 2023-24</t>
  </si>
  <si>
    <t xml:space="preserve">November </t>
  </si>
  <si>
    <t xml:space="preserve">December </t>
  </si>
  <si>
    <t xml:space="preserve">January </t>
  </si>
  <si>
    <t xml:space="preserve">March </t>
  </si>
  <si>
    <t xml:space="preserve">April </t>
  </si>
  <si>
    <t xml:space="preserve">July </t>
  </si>
  <si>
    <t xml:space="preserve">August </t>
  </si>
  <si>
    <t>Special Purpose</t>
  </si>
  <si>
    <t>Budget Status Report</t>
  </si>
  <si>
    <t>% of Fund Balance to Expenditures</t>
  </si>
  <si>
    <t>SY 2024-25</t>
  </si>
  <si>
    <t>Fed Special ED-24</t>
  </si>
  <si>
    <t>Estimate</t>
  </si>
  <si>
    <t>State Funded TK</t>
  </si>
  <si>
    <t>6198-04</t>
  </si>
  <si>
    <t>4158-04</t>
  </si>
  <si>
    <t>1191 FG</t>
  </si>
  <si>
    <t>4198-06</t>
  </si>
  <si>
    <t>4198-07</t>
  </si>
  <si>
    <t>CEP Breakfast</t>
  </si>
  <si>
    <t>CEP Lunch</t>
  </si>
  <si>
    <t>Apportionment Totals</t>
  </si>
  <si>
    <t xml:space="preserve"> North River School District</t>
  </si>
  <si>
    <t>Actual</t>
  </si>
  <si>
    <t>Fed Title IV</t>
  </si>
  <si>
    <t>PY Fed Title IV</t>
  </si>
  <si>
    <t>G5 Small Rural School</t>
  </si>
  <si>
    <t>$400K or 2 mths exp (greater of)</t>
  </si>
  <si>
    <t>5204-62</t>
  </si>
  <si>
    <t>Possible Cash 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</si>
</sst>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12"/>
      <color rgb="FF0000CC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i/>
      <sz val="10"/>
      <color rgb="FF7030A0"/>
      <name val="Tahoma"/>
      <family val="2"/>
    </font>
    <font>
      <i/>
      <sz val="14"/>
      <color rgb="FF7030A0"/>
      <name val="Arial"/>
      <family val="2"/>
    </font>
    <font>
      <i/>
      <sz val="10"/>
      <color rgb="FF7030A0"/>
      <name val="Arial"/>
      <family val="2"/>
    </font>
    <font>
      <b/>
      <i/>
      <sz val="10"/>
      <color rgb="FF7030A0"/>
      <name val="Tahoma"/>
      <family val="2"/>
    </font>
    <font>
      <b/>
      <i/>
      <sz val="14"/>
      <color rgb="FF7030A0"/>
      <name val="Arial"/>
      <family val="2"/>
    </font>
    <font>
      <b/>
      <i/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indexed="64"/>
      </top>
      <bottom style="thin">
        <color rgb="FF7030A0"/>
      </bottom>
      <diagonal/>
    </border>
    <border>
      <left style="thin">
        <color rgb="FF7030A0"/>
      </left>
      <right style="medium">
        <color indexed="64"/>
      </right>
      <top style="medium">
        <color indexed="64"/>
      </top>
      <bottom style="thin">
        <color rgb="FF7030A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164" fontId="2" fillId="0" borderId="0" xfId="1" applyNumberFormat="1" applyFont="1"/>
    <xf numFmtId="43" fontId="2" fillId="0" borderId="0" xfId="0" applyNumberFormat="1" applyFont="1"/>
    <xf numFmtId="43" fontId="2" fillId="0" borderId="0" xfId="1" applyFont="1"/>
    <xf numFmtId="164" fontId="6" fillId="0" borderId="0" xfId="1" applyNumberFormat="1" applyFont="1"/>
    <xf numFmtId="43" fontId="6" fillId="0" borderId="0" xfId="1" applyFont="1"/>
    <xf numFmtId="43" fontId="6" fillId="0" borderId="0" xfId="1" applyFont="1" applyAlignment="1">
      <alignment horizontal="left" indent="1"/>
    </xf>
    <xf numFmtId="4" fontId="7" fillId="0" borderId="3" xfId="1" applyNumberFormat="1" applyFont="1" applyBorder="1"/>
    <xf numFmtId="4" fontId="3" fillId="0" borderId="3" xfId="1" applyNumberFormat="1" applyFont="1" applyBorder="1"/>
    <xf numFmtId="4" fontId="6" fillId="0" borderId="0" xfId="1" applyNumberFormat="1" applyFont="1"/>
    <xf numFmtId="4" fontId="6" fillId="0" borderId="0" xfId="0" applyNumberFormat="1" applyFont="1"/>
    <xf numFmtId="4" fontId="2" fillId="0" borderId="0" xfId="0" applyNumberFormat="1" applyFont="1"/>
    <xf numFmtId="0" fontId="13" fillId="0" borderId="0" xfId="0" applyFont="1"/>
    <xf numFmtId="164" fontId="13" fillId="0" borderId="0" xfId="1" applyNumberFormat="1" applyFo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4" fontId="18" fillId="0" borderId="0" xfId="0" applyNumberFormat="1" applyFont="1"/>
    <xf numFmtId="164" fontId="4" fillId="0" borderId="5" xfId="1" applyNumberFormat="1" applyFont="1" applyBorder="1" applyAlignment="1">
      <alignment horizontal="center"/>
    </xf>
    <xf numFmtId="43" fontId="7" fillId="2" borderId="3" xfId="1" applyFont="1" applyFill="1" applyBorder="1"/>
    <xf numFmtId="164" fontId="6" fillId="2" borderId="0" xfId="1" applyNumberFormat="1" applyFont="1" applyFill="1"/>
    <xf numFmtId="164" fontId="7" fillId="2" borderId="10" xfId="1" applyNumberFormat="1" applyFont="1" applyFill="1" applyBorder="1" applyAlignment="1">
      <alignment horizontal="center"/>
    </xf>
    <xf numFmtId="164" fontId="6" fillId="2" borderId="8" xfId="1" applyNumberFormat="1" applyFont="1" applyFill="1" applyBorder="1"/>
    <xf numFmtId="164" fontId="7" fillId="2" borderId="3" xfId="1" applyNumberFormat="1" applyFont="1" applyFill="1" applyBorder="1"/>
    <xf numFmtId="164" fontId="6" fillId="2" borderId="9" xfId="1" applyNumberFormat="1" applyFont="1" applyFill="1" applyBorder="1"/>
    <xf numFmtId="0" fontId="13" fillId="0" borderId="0" xfId="0" applyFont="1" applyAlignment="1">
      <alignment wrapText="1"/>
    </xf>
    <xf numFmtId="20" fontId="4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164" fontId="7" fillId="2" borderId="0" xfId="1" applyNumberFormat="1" applyFont="1" applyFill="1" applyBorder="1"/>
    <xf numFmtId="0" fontId="6" fillId="0" borderId="13" xfId="0" applyFont="1" applyBorder="1" applyAlignment="1">
      <alignment wrapText="1"/>
    </xf>
    <xf numFmtId="0" fontId="4" fillId="0" borderId="0" xfId="0" applyFont="1"/>
    <xf numFmtId="0" fontId="12" fillId="0" borderId="0" xfId="0" applyFont="1"/>
    <xf numFmtId="164" fontId="7" fillId="0" borderId="0" xfId="1" applyNumberFormat="1" applyFont="1" applyBorder="1"/>
    <xf numFmtId="164" fontId="7" fillId="0" borderId="0" xfId="1" applyNumberFormat="1" applyFont="1" applyFill="1" applyBorder="1"/>
    <xf numFmtId="164" fontId="3" fillId="0" borderId="0" xfId="1" applyNumberFormat="1" applyFont="1" applyBorder="1"/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164" fontId="6" fillId="0" borderId="3" xfId="1" applyNumberFormat="1" applyFont="1" applyBorder="1"/>
    <xf numFmtId="0" fontId="6" fillId="0" borderId="3" xfId="0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20" fillId="0" borderId="3" xfId="0" applyFont="1" applyBorder="1" applyAlignment="1">
      <alignment wrapText="1"/>
    </xf>
    <xf numFmtId="164" fontId="20" fillId="0" borderId="3" xfId="1" applyNumberFormat="1" applyFont="1" applyBorder="1"/>
    <xf numFmtId="164" fontId="21" fillId="0" borderId="3" xfId="1" applyNumberFormat="1" applyFont="1" applyBorder="1"/>
    <xf numFmtId="43" fontId="6" fillId="0" borderId="3" xfId="0" applyNumberFormat="1" applyFont="1" applyBorder="1"/>
    <xf numFmtId="0" fontId="1" fillId="0" borderId="3" xfId="0" applyFont="1" applyBorder="1" applyAlignment="1">
      <alignment wrapText="1"/>
    </xf>
    <xf numFmtId="0" fontId="7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0" applyFont="1"/>
    <xf numFmtId="164" fontId="3" fillId="0" borderId="0" xfId="1" applyNumberFormat="1" applyFont="1" applyFill="1" applyBorder="1"/>
    <xf numFmtId="164" fontId="4" fillId="0" borderId="3" xfId="0" applyNumberFormat="1" applyFont="1" applyBorder="1"/>
    <xf numFmtId="0" fontId="4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164" fontId="6" fillId="5" borderId="0" xfId="1" applyNumberFormat="1" applyFont="1" applyFill="1" applyBorder="1"/>
    <xf numFmtId="0" fontId="6" fillId="5" borderId="0" xfId="0" applyFont="1" applyFill="1"/>
    <xf numFmtId="0" fontId="2" fillId="5" borderId="0" xfId="0" applyFont="1" applyFill="1"/>
    <xf numFmtId="0" fontId="0" fillId="5" borderId="0" xfId="0" applyFill="1"/>
    <xf numFmtId="17" fontId="7" fillId="0" borderId="10" xfId="1" applyNumberFormat="1" applyFont="1" applyFill="1" applyBorder="1" applyAlignment="1">
      <alignment horizontal="center"/>
    </xf>
    <xf numFmtId="43" fontId="1" fillId="2" borderId="3" xfId="1" applyFont="1" applyFill="1" applyBorder="1"/>
    <xf numFmtId="4" fontId="18" fillId="0" borderId="20" xfId="0" applyNumberFormat="1" applyFont="1" applyBorder="1"/>
    <xf numFmtId="0" fontId="0" fillId="0" borderId="20" xfId="0" applyBorder="1"/>
    <xf numFmtId="0" fontId="2" fillId="0" borderId="20" xfId="0" applyFont="1" applyBorder="1"/>
    <xf numFmtId="0" fontId="6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43" fontId="7" fillId="2" borderId="10" xfId="1" applyFont="1" applyFill="1" applyBorder="1"/>
    <xf numFmtId="4" fontId="6" fillId="0" borderId="5" xfId="0" applyNumberFormat="1" applyFont="1" applyBorder="1"/>
    <xf numFmtId="4" fontId="2" fillId="0" borderId="5" xfId="0" applyNumberFormat="1" applyFont="1" applyBorder="1"/>
    <xf numFmtId="39" fontId="15" fillId="0" borderId="5" xfId="0" applyNumberFormat="1" applyFont="1" applyBorder="1"/>
    <xf numFmtId="39" fontId="15" fillId="0" borderId="1" xfId="0" applyNumberFormat="1" applyFont="1" applyBorder="1"/>
    <xf numFmtId="164" fontId="6" fillId="2" borderId="3" xfId="0" applyNumberFormat="1" applyFont="1" applyFill="1" applyBorder="1"/>
    <xf numFmtId="164" fontId="6" fillId="2" borderId="3" xfId="1" applyNumberFormat="1" applyFont="1" applyFill="1" applyBorder="1"/>
    <xf numFmtId="10" fontId="6" fillId="6" borderId="5" xfId="2" applyNumberFormat="1" applyFont="1" applyFill="1" applyBorder="1"/>
    <xf numFmtId="10" fontId="2" fillId="6" borderId="5" xfId="2" applyNumberFormat="1" applyFont="1" applyFill="1" applyBorder="1"/>
    <xf numFmtId="10" fontId="2" fillId="6" borderId="1" xfId="2" applyNumberFormat="1" applyFont="1" applyFill="1" applyBorder="1"/>
    <xf numFmtId="14" fontId="4" fillId="0" borderId="6" xfId="0" applyNumberFormat="1" applyFont="1" applyBorder="1" applyAlignment="1">
      <alignment wrapText="1"/>
    </xf>
    <xf numFmtId="43" fontId="0" fillId="0" borderId="0" xfId="0" applyNumberFormat="1"/>
    <xf numFmtId="4" fontId="6" fillId="4" borderId="3" xfId="0" applyNumberFormat="1" applyFont="1" applyFill="1" applyBorder="1"/>
    <xf numFmtId="4" fontId="2" fillId="4" borderId="3" xfId="0" applyNumberFormat="1" applyFont="1" applyFill="1" applyBorder="1"/>
    <xf numFmtId="39" fontId="15" fillId="4" borderId="3" xfId="0" applyNumberFormat="1" applyFont="1" applyFill="1" applyBorder="1"/>
    <xf numFmtId="39" fontId="15" fillId="4" borderId="3" xfId="0" applyNumberFormat="1" applyFont="1" applyFill="1" applyBorder="1" applyAlignment="1">
      <alignment horizontal="right"/>
    </xf>
    <xf numFmtId="164" fontId="7" fillId="0" borderId="28" xfId="1" applyNumberFormat="1" applyFont="1" applyBorder="1" applyAlignment="1">
      <alignment horizontal="center"/>
    </xf>
    <xf numFmtId="17" fontId="7" fillId="0" borderId="24" xfId="1" applyNumberFormat="1" applyFont="1" applyFill="1" applyBorder="1" applyAlignment="1">
      <alignment horizontal="center"/>
    </xf>
    <xf numFmtId="164" fontId="7" fillId="2" borderId="26" xfId="1" applyNumberFormat="1" applyFont="1" applyFill="1" applyBorder="1" applyAlignment="1">
      <alignment horizontal="center"/>
    </xf>
    <xf numFmtId="164" fontId="7" fillId="2" borderId="25" xfId="1" applyNumberFormat="1" applyFont="1" applyFill="1" applyBorder="1" applyAlignment="1">
      <alignment horizontal="center"/>
    </xf>
    <xf numFmtId="164" fontId="6" fillId="3" borderId="13" xfId="1" applyNumberFormat="1" applyFont="1" applyFill="1" applyBorder="1"/>
    <xf numFmtId="164" fontId="6" fillId="3" borderId="14" xfId="1" applyNumberFormat="1" applyFont="1" applyFill="1" applyBorder="1"/>
    <xf numFmtId="164" fontId="7" fillId="2" borderId="26" xfId="1" applyNumberFormat="1" applyFont="1" applyFill="1" applyBorder="1"/>
    <xf numFmtId="164" fontId="7" fillId="2" borderId="25" xfId="1" applyNumberFormat="1" applyFont="1" applyFill="1" applyBorder="1"/>
    <xf numFmtId="164" fontId="7" fillId="2" borderId="29" xfId="1" applyNumberFormat="1" applyFont="1" applyFill="1" applyBorder="1"/>
    <xf numFmtId="164" fontId="7" fillId="2" borderId="16" xfId="1" applyNumberFormat="1" applyFont="1" applyFill="1" applyBorder="1"/>
    <xf numFmtId="0" fontId="19" fillId="0" borderId="0" xfId="0" applyFont="1"/>
    <xf numFmtId="43" fontId="6" fillId="0" borderId="3" xfId="1" applyFont="1" applyBorder="1"/>
    <xf numFmtId="43" fontId="2" fillId="0" borderId="3" xfId="1" applyFont="1" applyBorder="1"/>
    <xf numFmtId="164" fontId="2" fillId="0" borderId="3" xfId="1" applyNumberFormat="1" applyFont="1" applyBorder="1"/>
    <xf numFmtId="4" fontId="6" fillId="0" borderId="3" xfId="1" applyNumberFormat="1" applyFont="1" applyBorder="1"/>
    <xf numFmtId="4" fontId="2" fillId="0" borderId="3" xfId="1" applyNumberFormat="1" applyFont="1" applyBorder="1"/>
    <xf numFmtId="43" fontId="11" fillId="0" borderId="3" xfId="1" applyFont="1" applyBorder="1"/>
    <xf numFmtId="43" fontId="5" fillId="0" borderId="3" xfId="1" applyFont="1" applyBorder="1"/>
    <xf numFmtId="164" fontId="1" fillId="3" borderId="0" xfId="1" applyNumberFormat="1" applyFont="1" applyFill="1" applyBorder="1"/>
    <xf numFmtId="164" fontId="1" fillId="2" borderId="1" xfId="1" applyNumberFormat="1" applyFont="1" applyFill="1" applyBorder="1"/>
    <xf numFmtId="164" fontId="1" fillId="2" borderId="3" xfId="1" applyNumberFormat="1" applyFont="1" applyFill="1" applyBorder="1"/>
    <xf numFmtId="164" fontId="1" fillId="2" borderId="19" xfId="1" applyNumberFormat="1" applyFont="1" applyFill="1" applyBorder="1"/>
    <xf numFmtId="164" fontId="7" fillId="2" borderId="30" xfId="1" applyNumberFormat="1" applyFont="1" applyFill="1" applyBorder="1"/>
    <xf numFmtId="164" fontId="7" fillId="2" borderId="14" xfId="1" applyNumberFormat="1" applyFont="1" applyFill="1" applyBorder="1"/>
    <xf numFmtId="164" fontId="1" fillId="2" borderId="31" xfId="1" applyNumberFormat="1" applyFont="1" applyFill="1" applyBorder="1"/>
    <xf numFmtId="0" fontId="26" fillId="0" borderId="0" xfId="0" applyFont="1"/>
    <xf numFmtId="43" fontId="26" fillId="0" borderId="0" xfId="0" applyNumberFormat="1" applyFont="1"/>
    <xf numFmtId="0" fontId="24" fillId="0" borderId="0" xfId="0" applyFont="1"/>
    <xf numFmtId="0" fontId="27" fillId="0" borderId="0" xfId="0" applyFont="1"/>
    <xf numFmtId="0" fontId="29" fillId="0" borderId="0" xfId="0" applyFont="1"/>
    <xf numFmtId="43" fontId="29" fillId="0" borderId="0" xfId="0" applyNumberFormat="1" applyFont="1"/>
    <xf numFmtId="0" fontId="28" fillId="0" borderId="0" xfId="0" applyFont="1" applyAlignment="1">
      <alignment horizontal="center" wrapText="1"/>
    </xf>
    <xf numFmtId="164" fontId="29" fillId="2" borderId="0" xfId="1" applyNumberFormat="1" applyFont="1" applyFill="1" applyBorder="1"/>
    <xf numFmtId="164" fontId="29" fillId="0" borderId="0" xfId="1" applyNumberFormat="1" applyFont="1" applyBorder="1"/>
    <xf numFmtId="4" fontId="7" fillId="0" borderId="10" xfId="1" applyNumberFormat="1" applyFont="1" applyBorder="1"/>
    <xf numFmtId="164" fontId="7" fillId="0" borderId="31" xfId="1" applyNumberFormat="1" applyFont="1" applyBorder="1"/>
    <xf numFmtId="164" fontId="7" fillId="0" borderId="31" xfId="1" applyNumberFormat="1" applyFont="1" applyFill="1" applyBorder="1"/>
    <xf numFmtId="164" fontId="3" fillId="0" borderId="31" xfId="1" applyNumberFormat="1" applyFont="1" applyBorder="1"/>
    <xf numFmtId="164" fontId="3" fillId="0" borderId="14" xfId="1" applyNumberFormat="1" applyFont="1" applyBorder="1"/>
    <xf numFmtId="4" fontId="7" fillId="0" borderId="32" xfId="1" applyNumberFormat="1" applyFont="1" applyFill="1" applyBorder="1"/>
    <xf numFmtId="164" fontId="7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3" xfId="1" applyNumberFormat="1" applyFont="1" applyBorder="1" applyAlignment="1">
      <alignment horizontal="center"/>
    </xf>
    <xf numFmtId="43" fontId="7" fillId="0" borderId="1" xfId="1" applyFont="1" applyBorder="1"/>
    <xf numFmtId="164" fontId="6" fillId="0" borderId="1" xfId="1" applyNumberFormat="1" applyFont="1" applyBorder="1"/>
    <xf numFmtId="4" fontId="6" fillId="0" borderId="1" xfId="1" applyNumberFormat="1" applyFont="1" applyBorder="1"/>
    <xf numFmtId="164" fontId="6" fillId="0" borderId="3" xfId="1" applyNumberFormat="1" applyFont="1" applyFill="1" applyBorder="1"/>
    <xf numFmtId="0" fontId="6" fillId="0" borderId="3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164" fontId="7" fillId="0" borderId="18" xfId="1" applyNumberFormat="1" applyFont="1" applyFill="1" applyBorder="1"/>
    <xf numFmtId="164" fontId="7" fillId="0" borderId="24" xfId="1" applyNumberFormat="1" applyFont="1" applyFill="1" applyBorder="1"/>
    <xf numFmtId="0" fontId="6" fillId="0" borderId="26" xfId="0" applyFont="1" applyBorder="1" applyAlignment="1">
      <alignment wrapText="1"/>
    </xf>
    <xf numFmtId="164" fontId="6" fillId="0" borderId="25" xfId="1" applyNumberFormat="1" applyFont="1" applyFill="1" applyBorder="1"/>
    <xf numFmtId="0" fontId="8" fillId="0" borderId="26" xfId="0" applyFont="1" applyBorder="1" applyAlignment="1">
      <alignment wrapText="1"/>
    </xf>
    <xf numFmtId="2" fontId="6" fillId="0" borderId="25" xfId="0" applyNumberFormat="1" applyFont="1" applyBorder="1"/>
    <xf numFmtId="0" fontId="1" fillId="0" borderId="26" xfId="0" applyFont="1" applyBorder="1" applyAlignment="1">
      <alignment wrapText="1"/>
    </xf>
    <xf numFmtId="14" fontId="4" fillId="0" borderId="11" xfId="0" applyNumberFormat="1" applyFont="1" applyBorder="1" applyAlignment="1">
      <alignment wrapText="1"/>
    </xf>
    <xf numFmtId="164" fontId="6" fillId="0" borderId="12" xfId="0" applyNumberFormat="1" applyFont="1" applyBorder="1" applyAlignment="1">
      <alignment wrapText="1"/>
    </xf>
    <xf numFmtId="164" fontId="7" fillId="2" borderId="34" xfId="1" applyNumberFormat="1" applyFont="1" applyFill="1" applyBorder="1" applyAlignment="1">
      <alignment horizontal="center"/>
    </xf>
    <xf numFmtId="164" fontId="7" fillId="2" borderId="35" xfId="1" applyNumberFormat="1" applyFont="1" applyFill="1" applyBorder="1" applyAlignment="1">
      <alignment horizontal="center"/>
    </xf>
    <xf numFmtId="164" fontId="6" fillId="2" borderId="36" xfId="1" applyNumberFormat="1" applyFont="1" applyFill="1" applyBorder="1"/>
    <xf numFmtId="0" fontId="1" fillId="0" borderId="37" xfId="0" applyFont="1" applyBorder="1" applyAlignment="1">
      <alignment wrapText="1"/>
    </xf>
    <xf numFmtId="164" fontId="7" fillId="4" borderId="25" xfId="0" applyNumberFormat="1" applyFont="1" applyFill="1" applyBorder="1"/>
    <xf numFmtId="164" fontId="7" fillId="4" borderId="25" xfId="1" applyNumberFormat="1" applyFont="1" applyFill="1" applyBorder="1"/>
    <xf numFmtId="0" fontId="1" fillId="0" borderId="38" xfId="0" applyFont="1" applyBorder="1" applyAlignment="1">
      <alignment wrapText="1"/>
    </xf>
    <xf numFmtId="164" fontId="7" fillId="4" borderId="39" xfId="1" applyNumberFormat="1" applyFont="1" applyFill="1" applyBorder="1"/>
    <xf numFmtId="14" fontId="4" fillId="0" borderId="10" xfId="0" applyNumberFormat="1" applyFont="1" applyBorder="1" applyAlignment="1">
      <alignment wrapText="1"/>
    </xf>
    <xf numFmtId="20" fontId="4" fillId="0" borderId="10" xfId="0" applyNumberFormat="1" applyFont="1" applyBorder="1" applyAlignment="1">
      <alignment wrapText="1"/>
    </xf>
    <xf numFmtId="20" fontId="4" fillId="0" borderId="12" xfId="0" applyNumberFormat="1" applyFont="1" applyBorder="1" applyAlignment="1">
      <alignment wrapText="1"/>
    </xf>
    <xf numFmtId="164" fontId="7" fillId="0" borderId="34" xfId="1" applyNumberFormat="1" applyFont="1" applyFill="1" applyBorder="1" applyAlignment="1">
      <alignment horizontal="center"/>
    </xf>
    <xf numFmtId="17" fontId="7" fillId="0" borderId="35" xfId="1" applyNumberFormat="1" applyFont="1" applyFill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43" fontId="7" fillId="4" borderId="25" xfId="1" applyFont="1" applyFill="1" applyBorder="1"/>
    <xf numFmtId="43" fontId="1" fillId="4" borderId="25" xfId="1" applyFont="1" applyFill="1" applyBorder="1"/>
    <xf numFmtId="0" fontId="1" fillId="0" borderId="40" xfId="0" applyFont="1" applyBorder="1" applyAlignment="1">
      <alignment horizontal="left" wrapText="1"/>
    </xf>
    <xf numFmtId="43" fontId="7" fillId="4" borderId="41" xfId="1" applyFont="1" applyFill="1" applyBorder="1"/>
    <xf numFmtId="0" fontId="8" fillId="0" borderId="32" xfId="0" applyFont="1" applyBorder="1" applyAlignment="1">
      <alignment wrapText="1"/>
    </xf>
    <xf numFmtId="43" fontId="7" fillId="0" borderId="10" xfId="1" applyFont="1" applyFill="1" applyBorder="1"/>
    <xf numFmtId="0" fontId="4" fillId="5" borderId="7" xfId="0" applyFont="1" applyFill="1" applyBorder="1" applyAlignment="1">
      <alignment wrapText="1"/>
    </xf>
    <xf numFmtId="164" fontId="7" fillId="2" borderId="8" xfId="1" applyNumberFormat="1" applyFont="1" applyFill="1" applyBorder="1"/>
    <xf numFmtId="14" fontId="4" fillId="0" borderId="28" xfId="0" applyNumberFormat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43" xfId="0" applyFont="1" applyFill="1" applyBorder="1" applyAlignment="1">
      <alignment wrapText="1"/>
    </xf>
    <xf numFmtId="164" fontId="7" fillId="2" borderId="44" xfId="1" applyNumberFormat="1" applyFont="1" applyFill="1" applyBorder="1"/>
    <xf numFmtId="164" fontId="7" fillId="0" borderId="45" xfId="1" applyNumberFormat="1" applyFont="1" applyBorder="1"/>
    <xf numFmtId="0" fontId="1" fillId="0" borderId="15" xfId="0" applyFont="1" applyBorder="1" applyAlignment="1">
      <alignment wrapText="1"/>
    </xf>
    <xf numFmtId="0" fontId="6" fillId="0" borderId="27" xfId="0" applyFont="1" applyBorder="1" applyAlignment="1">
      <alignment wrapText="1"/>
    </xf>
    <xf numFmtId="164" fontId="6" fillId="2" borderId="44" xfId="1" applyNumberFormat="1" applyFont="1" applyFill="1" applyBorder="1"/>
    <xf numFmtId="164" fontId="7" fillId="4" borderId="45" xfId="1" applyNumberFormat="1" applyFont="1" applyFill="1" applyBorder="1"/>
    <xf numFmtId="0" fontId="4" fillId="5" borderId="21" xfId="0" applyFont="1" applyFill="1" applyBorder="1" applyAlignment="1">
      <alignment wrapText="1"/>
    </xf>
    <xf numFmtId="0" fontId="4" fillId="5" borderId="46" xfId="0" applyFont="1" applyFill="1" applyBorder="1" applyAlignment="1">
      <alignment wrapText="1"/>
    </xf>
    <xf numFmtId="164" fontId="7" fillId="2" borderId="47" xfId="1" applyNumberFormat="1" applyFont="1" applyFill="1" applyBorder="1"/>
    <xf numFmtId="164" fontId="7" fillId="2" borderId="22" xfId="1" applyNumberFormat="1" applyFont="1" applyFill="1" applyBorder="1"/>
    <xf numFmtId="43" fontId="7" fillId="0" borderId="47" xfId="1" applyFont="1" applyFill="1" applyBorder="1"/>
    <xf numFmtId="43" fontId="7" fillId="2" borderId="48" xfId="1" applyFont="1" applyFill="1" applyBorder="1"/>
    <xf numFmtId="0" fontId="3" fillId="0" borderId="21" xfId="0" applyFont="1" applyBorder="1"/>
    <xf numFmtId="0" fontId="4" fillId="0" borderId="23" xfId="0" applyFont="1" applyBorder="1" applyAlignment="1">
      <alignment wrapText="1"/>
    </xf>
    <xf numFmtId="0" fontId="4" fillId="0" borderId="47" xfId="0" applyFont="1" applyBorder="1"/>
    <xf numFmtId="0" fontId="4" fillId="0" borderId="48" xfId="0" applyFont="1" applyBorder="1"/>
    <xf numFmtId="0" fontId="4" fillId="5" borderId="13" xfId="0" applyFont="1" applyFill="1" applyBorder="1" applyAlignment="1">
      <alignment wrapText="1"/>
    </xf>
    <xf numFmtId="164" fontId="7" fillId="0" borderId="36" xfId="1" applyNumberFormat="1" applyFont="1" applyBorder="1"/>
    <xf numFmtId="0" fontId="24" fillId="0" borderId="49" xfId="0" applyFont="1" applyBorder="1" applyAlignment="1">
      <alignment wrapText="1"/>
    </xf>
    <xf numFmtId="0" fontId="24" fillId="0" borderId="50" xfId="0" applyFont="1" applyBorder="1" applyAlignment="1">
      <alignment wrapText="1"/>
    </xf>
    <xf numFmtId="164" fontId="25" fillId="2" borderId="50" xfId="0" applyNumberFormat="1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5" borderId="50" xfId="0" applyFont="1" applyFill="1" applyBorder="1" applyAlignment="1">
      <alignment horizontal="center"/>
    </xf>
    <xf numFmtId="0" fontId="24" fillId="5" borderId="50" xfId="0" applyFont="1" applyFill="1" applyBorder="1"/>
    <xf numFmtId="0" fontId="24" fillId="5" borderId="51" xfId="0" applyFont="1" applyFill="1" applyBorder="1"/>
    <xf numFmtId="0" fontId="1" fillId="7" borderId="26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wrapText="1"/>
    </xf>
    <xf numFmtId="43" fontId="7" fillId="7" borderId="3" xfId="1" applyFont="1" applyFill="1" applyBorder="1"/>
    <xf numFmtId="43" fontId="7" fillId="7" borderId="25" xfId="1" applyFont="1" applyFill="1" applyBorder="1"/>
    <xf numFmtId="0" fontId="4" fillId="4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4" fontId="1" fillId="8" borderId="3" xfId="0" applyNumberFormat="1" applyFont="1" applyFill="1" applyBorder="1"/>
    <xf numFmtId="4" fontId="9" fillId="8" borderId="1" xfId="1" applyNumberFormat="1" applyFont="1" applyFill="1" applyBorder="1"/>
    <xf numFmtId="4" fontId="2" fillId="8" borderId="3" xfId="0" applyNumberFormat="1" applyFont="1" applyFill="1" applyBorder="1"/>
    <xf numFmtId="4" fontId="8" fillId="8" borderId="1" xfId="0" applyNumberFormat="1" applyFont="1" applyFill="1" applyBorder="1"/>
    <xf numFmtId="4" fontId="6" fillId="8" borderId="1" xfId="1" applyNumberFormat="1" applyFont="1" applyFill="1" applyBorder="1"/>
    <xf numFmtId="4" fontId="7" fillId="8" borderId="32" xfId="1" applyNumberFormat="1" applyFont="1" applyFill="1" applyBorder="1"/>
    <xf numFmtId="4" fontId="2" fillId="8" borderId="1" xfId="0" applyNumberFormat="1" applyFont="1" applyFill="1" applyBorder="1"/>
    <xf numFmtId="0" fontId="6" fillId="8" borderId="0" xfId="1" applyNumberFormat="1" applyFont="1" applyFill="1" applyBorder="1" applyAlignment="1">
      <alignment horizontal="center"/>
    </xf>
    <xf numFmtId="4" fontId="9" fillId="8" borderId="3" xfId="1" applyNumberFormat="1" applyFont="1" applyFill="1" applyBorder="1"/>
    <xf numFmtId="0" fontId="6" fillId="8" borderId="0" xfId="1" applyNumberFormat="1" applyFont="1" applyFill="1" applyBorder="1"/>
    <xf numFmtId="4" fontId="8" fillId="8" borderId="3" xfId="0" applyNumberFormat="1" applyFont="1" applyFill="1" applyBorder="1"/>
    <xf numFmtId="4" fontId="6" fillId="8" borderId="3" xfId="1" applyNumberFormat="1" applyFont="1" applyFill="1" applyBorder="1"/>
    <xf numFmtId="4" fontId="6" fillId="8" borderId="3" xfId="0" applyNumberFormat="1" applyFont="1" applyFill="1" applyBorder="1"/>
    <xf numFmtId="4" fontId="1" fillId="9" borderId="0" xfId="1" applyNumberFormat="1" applyFont="1" applyFill="1"/>
    <xf numFmtId="4" fontId="7" fillId="8" borderId="10" xfId="1" applyNumberFormat="1" applyFont="1" applyFill="1" applyBorder="1"/>
    <xf numFmtId="43" fontId="1" fillId="5" borderId="0" xfId="1" applyFont="1" applyFill="1" applyBorder="1"/>
    <xf numFmtId="4" fontId="7" fillId="8" borderId="3" xfId="1" applyNumberFormat="1" applyFont="1" applyFill="1" applyBorder="1"/>
    <xf numFmtId="2" fontId="6" fillId="8" borderId="0" xfId="1" applyNumberFormat="1" applyFont="1" applyFill="1" applyBorder="1" applyAlignment="1">
      <alignment horizontal="center"/>
    </xf>
    <xf numFmtId="2" fontId="6" fillId="8" borderId="0" xfId="1" applyNumberFormat="1" applyFont="1" applyFill="1" applyBorder="1"/>
    <xf numFmtId="0" fontId="6" fillId="8" borderId="0" xfId="0" applyFont="1" applyFill="1"/>
  </cellXfs>
  <cellStyles count="4">
    <cellStyle name="Comma" xfId="1" builtinId="3"/>
    <cellStyle name="Normal" xfId="0" builtinId="0"/>
    <cellStyle name="Percent" xfId="2" builtinId="5"/>
    <cellStyle name="Percent 2" xfId="3" xr:uid="{15A1AF81-ACED-49D9-9BDB-85CAFF2A4CD4}"/>
  </cellStyles>
  <dxfs count="3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Budget</a:t>
            </a:r>
            <a:r>
              <a:rPr lang="en-US" baseline="0"/>
              <a:t> to Actual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Summary!$B$3:$B$4</c:f>
              <c:strCache>
                <c:ptCount val="2"/>
                <c:pt idx="0">
                  <c:v> Original Budget </c:v>
                </c:pt>
                <c:pt idx="1">
                  <c:v> Annual Amt.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Summary!$B$5:$B$9</c15:sqref>
                  </c15:fullRef>
                </c:ext>
              </c:extLst>
              <c:f>(Summary!$B$6:$B$7,Summary!$B$9)</c:f>
              <c:numCache>
                <c:formatCode>_(* #,##0_);_(* \(#,##0\);_(* "-"??_);_(@_)</c:formatCode>
                <c:ptCount val="3"/>
                <c:pt idx="0">
                  <c:v>2544227</c:v>
                </c:pt>
                <c:pt idx="1">
                  <c:v>2761587</c:v>
                </c:pt>
                <c:pt idx="2">
                  <c:v>233640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6-4B2D-B3C4-D045C0CBAAAD}"/>
            </c:ext>
          </c:extLst>
        </c:ser>
        <c:ser>
          <c:idx val="1"/>
          <c:order val="1"/>
          <c:tx>
            <c:strRef>
              <c:f>Summary!$C$3:$C$4</c:f>
              <c:strCache>
                <c:ptCount val="2"/>
                <c:pt idx="0">
                  <c:v>Current</c:v>
                </c:pt>
                <c:pt idx="1">
                  <c:v> Annual Projection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Summary!$C$5:$C$9</c15:sqref>
                  </c15:fullRef>
                </c:ext>
              </c:extLst>
              <c:f>(Summary!$C$6:$C$7,Summary!$C$9)</c:f>
              <c:numCache>
                <c:formatCode>_(* #,##0_);_(* \(#,##0\);_(* "-"??_);_(@_)</c:formatCode>
                <c:ptCount val="3"/>
                <c:pt idx="0">
                  <c:v>2578760.1233333335</c:v>
                </c:pt>
                <c:pt idx="1">
                  <c:v>2445014.16</c:v>
                </c:pt>
                <c:pt idx="2">
                  <c:v>693888.96333333338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6-4B2D-B3C4-D045C0CB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3872"/>
        <c:axId val="42816304"/>
      </c:barChart>
      <c:catAx>
        <c:axId val="394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6304"/>
        <c:crosses val="autoZero"/>
        <c:auto val="1"/>
        <c:lblAlgn val="ctr"/>
        <c:lblOffset val="100"/>
        <c:noMultiLvlLbl val="0"/>
      </c:catAx>
      <c:valAx>
        <c:axId val="428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to Expenditure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Summary!$A$6</c:f>
              <c:strCache>
                <c:ptCount val="1"/>
                <c:pt idx="0">
                  <c:v>Total 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Summary!$B$6:$O$6</c15:sqref>
                  </c15:fullRef>
                </c:ext>
              </c:extLst>
              <c:f>Summary!$D$6:$O$6</c:f>
              <c:numCache>
                <c:formatCode>_(* #,##0_);_(* \(#,##0\);_(* "-"??_);_(@_)</c:formatCode>
                <c:ptCount val="12"/>
                <c:pt idx="0">
                  <c:v>228164.88</c:v>
                </c:pt>
                <c:pt idx="1">
                  <c:v>209050.36999999994</c:v>
                </c:pt>
                <c:pt idx="2">
                  <c:v>154350.55000000002</c:v>
                </c:pt>
                <c:pt idx="3">
                  <c:v>231483.14999999997</c:v>
                </c:pt>
                <c:pt idx="4">
                  <c:v>218673.45</c:v>
                </c:pt>
                <c:pt idx="5">
                  <c:v>206865.94</c:v>
                </c:pt>
                <c:pt idx="6">
                  <c:v>229260.02675555556</c:v>
                </c:pt>
                <c:pt idx="7">
                  <c:v>229260.02675555556</c:v>
                </c:pt>
                <c:pt idx="8">
                  <c:v>131360.87955555553</c:v>
                </c:pt>
                <c:pt idx="9">
                  <c:v>155835.66635555553</c:v>
                </c:pt>
                <c:pt idx="10">
                  <c:v>314921.78055555566</c:v>
                </c:pt>
                <c:pt idx="11">
                  <c:v>269533.40335555538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E-4479-9FC5-E497F05AC074}"/>
            </c:ext>
          </c:extLst>
        </c:ser>
        <c:ser>
          <c:idx val="2"/>
          <c:order val="2"/>
          <c:tx>
            <c:strRef>
              <c:f>Summary!$A$7</c:f>
              <c:strCache>
                <c:ptCount val="1"/>
                <c:pt idx="0">
                  <c:v>Total Expenditures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Summary!$B$7:$O$7</c15:sqref>
                  </c15:fullRef>
                </c:ext>
              </c:extLst>
              <c:f>Summary!$D$7:$O$7</c:f>
              <c:numCache>
                <c:formatCode>_(* #,##0_);_(* \(#,##0\);_(* "-"??_);_(@_)</c:formatCode>
                <c:ptCount val="12"/>
                <c:pt idx="0">
                  <c:v>264934.42</c:v>
                </c:pt>
                <c:pt idx="1">
                  <c:v>205999.7</c:v>
                </c:pt>
                <c:pt idx="2">
                  <c:v>202812.32</c:v>
                </c:pt>
                <c:pt idx="3">
                  <c:v>183492.72</c:v>
                </c:pt>
                <c:pt idx="4">
                  <c:v>174125.29</c:v>
                </c:pt>
                <c:pt idx="5">
                  <c:v>203878.61</c:v>
                </c:pt>
                <c:pt idx="6">
                  <c:v>195295.18333333335</c:v>
                </c:pt>
                <c:pt idx="7">
                  <c:v>195295.18333333335</c:v>
                </c:pt>
                <c:pt idx="8">
                  <c:v>195295.18333333335</c:v>
                </c:pt>
                <c:pt idx="9">
                  <c:v>220295.18333333332</c:v>
                </c:pt>
                <c:pt idx="10">
                  <c:v>205295.18333333332</c:v>
                </c:pt>
                <c:pt idx="11">
                  <c:v>198295.18333333329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E-4479-9FC5-E497F05A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62752"/>
        <c:axId val="1754329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Summary!$A$5</c15:sqref>
                        </c15:formulaRef>
                      </c:ext>
                    </c:extLst>
                    <c:strCache>
                      <c:ptCount val="1"/>
                      <c:pt idx="0">
                        <c:v>ENROLLMENT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Summary!$B$5:$O$5</c15:sqref>
                        </c15:fullRef>
                        <c15:formulaRef>
                          <c15:sqref>Summary!$D$5:$O$5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48.75</c:v>
                      </c:pt>
                      <c:pt idx="1">
                        <c:v>56</c:v>
                      </c:pt>
                      <c:pt idx="2">
                        <c:v>54.879999999999995</c:v>
                      </c:pt>
                      <c:pt idx="3">
                        <c:v>53</c:v>
                      </c:pt>
                      <c:pt idx="4">
                        <c:v>53.66</c:v>
                      </c:pt>
                      <c:pt idx="5">
                        <c:v>52.459999999999994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0BE-4479-9FC5-E497F05AC07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Summary!$A$9</c15:sqref>
                        </c15:formulaRef>
                      </c:ext>
                    </c:extLst>
                    <c:strCache>
                      <c:ptCount val="1"/>
                      <c:pt idx="0">
                        <c:v>Projected Ending Fund Balance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Summary!$B$9:$O$9</c15:sqref>
                        </c15:fullRef>
                        <c15:formulaRef>
                          <c15:sqref>Summary!$D$9:$O$9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523373.46</c:v>
                      </c:pt>
                      <c:pt idx="1">
                        <c:v>526424.12999999989</c:v>
                      </c:pt>
                      <c:pt idx="2">
                        <c:v>477962.35999999993</c:v>
                      </c:pt>
                      <c:pt idx="3">
                        <c:v>525952.78999999992</c:v>
                      </c:pt>
                      <c:pt idx="4">
                        <c:v>570500.94999999995</c:v>
                      </c:pt>
                      <c:pt idx="5">
                        <c:v>573488.27999999991</c:v>
                      </c:pt>
                      <c:pt idx="6">
                        <c:v>607453.1234222221</c:v>
                      </c:pt>
                      <c:pt idx="7">
                        <c:v>641417.96684444428</c:v>
                      </c:pt>
                      <c:pt idx="8">
                        <c:v>577483.66306666646</c:v>
                      </c:pt>
                      <c:pt idx="9">
                        <c:v>513024.14608888864</c:v>
                      </c:pt>
                      <c:pt idx="10">
                        <c:v>622650.74331111088</c:v>
                      </c:pt>
                      <c:pt idx="11">
                        <c:v>693888.96333333291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BE-4479-9FC5-E497F05AC074}"/>
                  </c:ext>
                </c:extLst>
              </c15:ser>
            </c15:filteredLineSeries>
          </c:ext>
        </c:extLst>
      </c:lineChart>
      <c:catAx>
        <c:axId val="175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32928"/>
        <c:crosses val="autoZero"/>
        <c:auto val="1"/>
        <c:lblAlgn val="ctr"/>
        <c:lblOffset val="100"/>
        <c:noMultiLvlLbl val="0"/>
      </c:catAx>
      <c:valAx>
        <c:axId val="1754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</xdr:row>
      <xdr:rowOff>133349</xdr:rowOff>
    </xdr:from>
    <xdr:to>
      <xdr:col>5</xdr:col>
      <xdr:colOff>828675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A99B0E-6876-0796-1D7B-65F21F268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12</xdr:row>
      <xdr:rowOff>19050</xdr:rowOff>
    </xdr:from>
    <xdr:to>
      <xdr:col>11</xdr:col>
      <xdr:colOff>200025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979BF3-F50C-40FF-EF8D-FDA74928A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pril Kaech" id="{18315433-4822-4CAE-B550-8CDDE394A95E}" userId="S::akaech@esd113.org::55578787-15f6-444c-94e7-af2d498e3191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7" dT="2025-02-04T16:32:10.79" personId="{18315433-4822-4CAE-B550-8CDDE394A95E}" id="{90BEBA4A-4318-4F66-90F0-8EC11130EBC0}">
    <text>Grant is still not approved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7"/>
  <sheetViews>
    <sheetView showGridLines="0" tabSelected="1" zoomScaleNormal="100" workbookViewId="0">
      <pane ySplit="6" topLeftCell="A7" activePane="bottomLeft" state="frozen"/>
      <selection pane="bottomLeft" activeCell="A75" sqref="A75:XFD102"/>
    </sheetView>
  </sheetViews>
  <sheetFormatPr defaultColWidth="9.140625" defaultRowHeight="12.75" x14ac:dyDescent="0.2"/>
  <cols>
    <col min="1" max="1" width="22.42578125" style="35" customWidth="1"/>
    <col min="2" max="2" width="46.85546875" style="35" bestFit="1" customWidth="1"/>
    <col min="3" max="3" width="17.7109375" style="2" bestFit="1" customWidth="1"/>
    <col min="4" max="4" width="19.7109375" style="2" bestFit="1" customWidth="1"/>
    <col min="5" max="5" width="15.85546875" style="2" bestFit="1" customWidth="1"/>
    <col min="6" max="6" width="14.7109375" style="2" bestFit="1" customWidth="1"/>
    <col min="7" max="7" width="13.7109375" style="2" bestFit="1" customWidth="1"/>
    <col min="8" max="8" width="17" style="2" customWidth="1"/>
    <col min="9" max="13" width="17.42578125" style="1" bestFit="1" customWidth="1"/>
    <col min="14" max="16" width="16.140625" style="1" bestFit="1" customWidth="1"/>
    <col min="17" max="17" width="15" bestFit="1" customWidth="1"/>
    <col min="18" max="18" width="13.5703125" bestFit="1" customWidth="1"/>
    <col min="19" max="30" width="9.140625" customWidth="1"/>
    <col min="31" max="16384" width="9.140625" style="1"/>
  </cols>
  <sheetData>
    <row r="1" spans="1:30" ht="15.75" x14ac:dyDescent="0.25">
      <c r="A1" s="103" t="s">
        <v>118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30" ht="15.75" x14ac:dyDescent="0.25">
      <c r="A2" s="43" t="s">
        <v>38</v>
      </c>
      <c r="B2" s="32"/>
      <c r="C2" s="14"/>
      <c r="D2" s="14"/>
      <c r="E2" s="14"/>
      <c r="F2" s="14"/>
      <c r="G2" s="14"/>
      <c r="H2" s="14"/>
      <c r="I2" s="13"/>
      <c r="J2" s="13"/>
      <c r="K2" s="13"/>
      <c r="L2" s="13"/>
    </row>
    <row r="3" spans="1:30" ht="15.75" x14ac:dyDescent="0.25">
      <c r="A3" s="37"/>
      <c r="B3" s="32"/>
      <c r="C3" s="14"/>
      <c r="D3" s="14"/>
      <c r="E3" s="14"/>
      <c r="F3" s="14"/>
      <c r="G3" s="14"/>
      <c r="H3" s="14"/>
      <c r="I3" s="13"/>
      <c r="J3" s="13"/>
      <c r="K3" s="13"/>
      <c r="L3" s="13"/>
    </row>
    <row r="4" spans="1:30" ht="15.75" x14ac:dyDescent="0.25">
      <c r="A4" s="37"/>
      <c r="B4" s="32"/>
      <c r="C4" s="17" t="s">
        <v>17</v>
      </c>
      <c r="D4" s="18" t="s">
        <v>20</v>
      </c>
      <c r="E4" s="18" t="s">
        <v>7</v>
      </c>
      <c r="F4" s="18" t="s">
        <v>8</v>
      </c>
      <c r="G4" s="18" t="s">
        <v>9</v>
      </c>
      <c r="H4" s="18" t="s">
        <v>10</v>
      </c>
      <c r="I4" s="15" t="s">
        <v>2</v>
      </c>
      <c r="J4" s="15" t="s">
        <v>3</v>
      </c>
      <c r="K4" s="15" t="s">
        <v>4</v>
      </c>
      <c r="L4" s="15" t="s">
        <v>5</v>
      </c>
      <c r="M4" s="19" t="s">
        <v>12</v>
      </c>
      <c r="N4" s="19" t="s">
        <v>13</v>
      </c>
      <c r="O4" s="19" t="s">
        <v>14</v>
      </c>
      <c r="P4" s="20" t="s">
        <v>15</v>
      </c>
    </row>
    <row r="5" spans="1:30" s="68" customFormat="1" x14ac:dyDescent="0.2">
      <c r="A5" s="64" t="s">
        <v>41</v>
      </c>
      <c r="B5" s="65"/>
      <c r="C5" s="66">
        <v>46</v>
      </c>
      <c r="D5" s="224">
        <v>53.68</v>
      </c>
      <c r="E5" s="216">
        <v>48.75</v>
      </c>
      <c r="F5" s="226">
        <f>49.66+4.34+2</f>
        <v>56</v>
      </c>
      <c r="G5" s="218">
        <f>48.54+2+4.34</f>
        <v>54.879999999999995</v>
      </c>
      <c r="H5" s="227">
        <f>47.66+4.34+1</f>
        <v>53</v>
      </c>
      <c r="I5" s="218">
        <f>47.66+4+2</f>
        <v>53.66</v>
      </c>
      <c r="J5" s="228">
        <f>46.66+3.8+2</f>
        <v>52.459999999999994</v>
      </c>
      <c r="K5" s="67">
        <v>0</v>
      </c>
      <c r="L5" s="67">
        <v>0</v>
      </c>
      <c r="M5" s="68">
        <v>0</v>
      </c>
      <c r="N5" s="68">
        <v>0</v>
      </c>
      <c r="O5" s="68">
        <v>0</v>
      </c>
      <c r="P5" s="68">
        <v>0</v>
      </c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</row>
    <row r="6" spans="1:30" x14ac:dyDescent="0.2">
      <c r="C6" s="17" t="s">
        <v>17</v>
      </c>
      <c r="D6" s="18" t="s">
        <v>20</v>
      </c>
      <c r="E6" s="25" t="s">
        <v>49</v>
      </c>
      <c r="F6" s="25" t="s">
        <v>50</v>
      </c>
      <c r="G6" s="25" t="s">
        <v>54</v>
      </c>
      <c r="H6" s="25" t="s">
        <v>45</v>
      </c>
      <c r="I6" s="16" t="s">
        <v>51</v>
      </c>
      <c r="J6" s="16" t="s">
        <v>46</v>
      </c>
      <c r="K6" s="16" t="s">
        <v>47</v>
      </c>
      <c r="L6" s="16" t="s">
        <v>48</v>
      </c>
      <c r="M6" s="19" t="s">
        <v>52</v>
      </c>
      <c r="N6" s="19" t="s">
        <v>43</v>
      </c>
      <c r="O6" s="19" t="s">
        <v>53</v>
      </c>
      <c r="P6" s="20" t="s">
        <v>44</v>
      </c>
      <c r="Q6" s="23" t="s">
        <v>39</v>
      </c>
      <c r="R6" s="23" t="s">
        <v>87</v>
      </c>
    </row>
    <row r="7" spans="1:30" ht="13.5" thickBot="1" x14ac:dyDescent="0.25">
      <c r="A7" s="160" t="s">
        <v>40</v>
      </c>
      <c r="B7" s="161" t="s">
        <v>106</v>
      </c>
      <c r="C7" s="28" t="s">
        <v>6</v>
      </c>
      <c r="D7" s="70" t="s">
        <v>28</v>
      </c>
      <c r="E7" s="208" t="s">
        <v>119</v>
      </c>
      <c r="F7" s="208" t="s">
        <v>119</v>
      </c>
      <c r="G7" s="208" t="s">
        <v>119</v>
      </c>
      <c r="H7" s="208" t="s">
        <v>119</v>
      </c>
      <c r="I7" s="208" t="s">
        <v>119</v>
      </c>
      <c r="J7" s="208" t="s">
        <v>119</v>
      </c>
      <c r="K7" s="207" t="s">
        <v>108</v>
      </c>
      <c r="L7" s="207" t="s">
        <v>108</v>
      </c>
      <c r="M7" s="207" t="s">
        <v>108</v>
      </c>
      <c r="N7" s="207" t="s">
        <v>108</v>
      </c>
      <c r="O7" s="207" t="s">
        <v>108</v>
      </c>
      <c r="P7" s="207" t="s">
        <v>108</v>
      </c>
    </row>
    <row r="8" spans="1:30" x14ac:dyDescent="0.2">
      <c r="A8" s="150" t="s">
        <v>83</v>
      </c>
      <c r="B8" s="162"/>
      <c r="C8" s="163"/>
      <c r="D8" s="16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1"/>
    </row>
    <row r="9" spans="1:30" x14ac:dyDescent="0.2">
      <c r="A9" s="165">
        <v>3100</v>
      </c>
      <c r="B9" s="47" t="s">
        <v>21</v>
      </c>
      <c r="C9" s="26">
        <v>2138581</v>
      </c>
      <c r="D9" s="166">
        <v>2131161.71</v>
      </c>
      <c r="E9" s="209">
        <v>192444.36</v>
      </c>
      <c r="F9" s="209">
        <v>171061.65</v>
      </c>
      <c r="G9" s="209">
        <v>106913.53</v>
      </c>
      <c r="H9" s="209">
        <v>192444.36</v>
      </c>
      <c r="I9" s="221">
        <v>188678.45</v>
      </c>
      <c r="J9" s="221">
        <v>182071.08</v>
      </c>
      <c r="K9" s="89">
        <f>SUM($D9*9%)</f>
        <v>191804.5539</v>
      </c>
      <c r="L9" s="89">
        <f>SUM($D9*9%)</f>
        <v>191804.5539</v>
      </c>
      <c r="M9" s="90">
        <f>SUM($D9*5%)</f>
        <v>106558.0855</v>
      </c>
      <c r="N9" s="90">
        <f>SUM($D9*6%)</f>
        <v>127869.70259999999</v>
      </c>
      <c r="O9" s="91">
        <f>SUM($D9*12.5%)</f>
        <v>266395.21375</v>
      </c>
      <c r="P9" s="91">
        <f>($D9-SUM($E9:O9))/1</f>
        <v>213116.1703499998</v>
      </c>
      <c r="Q9" s="24">
        <f>SUM(E9:P9)</f>
        <v>2131161.71</v>
      </c>
      <c r="R9" s="88">
        <f>Q9-D9</f>
        <v>0</v>
      </c>
    </row>
    <row r="10" spans="1:30" x14ac:dyDescent="0.2">
      <c r="A10" s="165">
        <v>3121</v>
      </c>
      <c r="B10" s="47" t="s">
        <v>22</v>
      </c>
      <c r="C10" s="26">
        <v>4092</v>
      </c>
      <c r="D10" s="166">
        <v>3161.08</v>
      </c>
      <c r="E10" s="209">
        <v>368.28</v>
      </c>
      <c r="F10" s="209">
        <v>327.36</v>
      </c>
      <c r="G10" s="209">
        <v>204.6</v>
      </c>
      <c r="H10" s="209">
        <v>368.28</v>
      </c>
      <c r="I10" s="221">
        <v>21.06</v>
      </c>
      <c r="J10" s="221">
        <v>243.54</v>
      </c>
      <c r="K10" s="89">
        <f t="shared" ref="K10:L10" si="0">SUM($D10*9%)</f>
        <v>284.49719999999996</v>
      </c>
      <c r="L10" s="89">
        <f t="shared" si="0"/>
        <v>284.49719999999996</v>
      </c>
      <c r="M10" s="90">
        <f t="shared" ref="M10" si="1">SUM($D10*5%)</f>
        <v>158.054</v>
      </c>
      <c r="N10" s="90">
        <f t="shared" ref="N10" si="2">SUM($D10*6%)</f>
        <v>189.66479999999999</v>
      </c>
      <c r="O10" s="91">
        <f t="shared" ref="O10" si="3">SUM($D10*12.5%)</f>
        <v>395.13499999999999</v>
      </c>
      <c r="P10" s="91">
        <f>($D10-SUM($E10:O10))/1</f>
        <v>316.11179999999968</v>
      </c>
      <c r="Q10" s="24">
        <f t="shared" ref="Q10:Q32" si="4">SUM(E10:P10)</f>
        <v>3161.08</v>
      </c>
      <c r="R10" s="88">
        <f t="shared" ref="R10:R57" si="5">Q10-D10</f>
        <v>0</v>
      </c>
    </row>
    <row r="11" spans="1:30" x14ac:dyDescent="0.2">
      <c r="A11" s="165">
        <v>4100</v>
      </c>
      <c r="B11" s="47" t="s">
        <v>103</v>
      </c>
      <c r="C11" s="71">
        <v>0</v>
      </c>
      <c r="D11" s="167">
        <v>0</v>
      </c>
      <c r="E11" s="209">
        <v>0</v>
      </c>
      <c r="F11" s="209">
        <v>0</v>
      </c>
      <c r="G11" s="209">
        <v>0</v>
      </c>
      <c r="H11" s="209">
        <v>0</v>
      </c>
      <c r="I11" s="221">
        <v>0</v>
      </c>
      <c r="J11" s="221">
        <v>0</v>
      </c>
      <c r="K11" s="89">
        <f t="shared" ref="K11:L13" si="6">SUM($D11*9%)</f>
        <v>0</v>
      </c>
      <c r="L11" s="89">
        <f t="shared" si="6"/>
        <v>0</v>
      </c>
      <c r="M11" s="90">
        <f>SUM($D11*5%)</f>
        <v>0</v>
      </c>
      <c r="N11" s="90">
        <f>SUM($D11*6%)</f>
        <v>0</v>
      </c>
      <c r="O11" s="91">
        <f>SUM($D11*12.5%)</f>
        <v>0</v>
      </c>
      <c r="P11" s="91">
        <f>($D11-SUM($E11:O11))/1</f>
        <v>0</v>
      </c>
      <c r="Q11" s="24">
        <f t="shared" ref="Q11:Q12" si="7">SUM(E11:P11)</f>
        <v>0</v>
      </c>
      <c r="R11" s="88">
        <f t="shared" ref="R11:R12" si="8">Q11-D11</f>
        <v>0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">
      <c r="A12" s="165">
        <v>4109</v>
      </c>
      <c r="B12" s="47" t="s">
        <v>109</v>
      </c>
      <c r="C12" s="26">
        <v>11874</v>
      </c>
      <c r="D12" s="166">
        <v>21916.13</v>
      </c>
      <c r="E12" s="209">
        <v>1068.7</v>
      </c>
      <c r="F12" s="209">
        <v>949.96</v>
      </c>
      <c r="G12" s="209">
        <v>593.72</v>
      </c>
      <c r="H12" s="209">
        <v>1068.7</v>
      </c>
      <c r="I12" s="221">
        <v>4759.01</v>
      </c>
      <c r="J12" s="221">
        <v>2189.23</v>
      </c>
      <c r="K12" s="89">
        <f t="shared" si="6"/>
        <v>1972.4517000000001</v>
      </c>
      <c r="L12" s="89">
        <f t="shared" si="6"/>
        <v>1972.4517000000001</v>
      </c>
      <c r="M12" s="90">
        <f>SUM($D12*5%)</f>
        <v>1095.8065000000001</v>
      </c>
      <c r="N12" s="90">
        <f>SUM($D12*6%)</f>
        <v>1314.9678000000001</v>
      </c>
      <c r="O12" s="91">
        <f>SUM($D12*12.5%)</f>
        <v>2739.5162500000001</v>
      </c>
      <c r="P12" s="91">
        <f>($D12-SUM($E12:O12))/1</f>
        <v>2191.6160500000005</v>
      </c>
      <c r="Q12" s="24">
        <f t="shared" si="7"/>
        <v>21916.13</v>
      </c>
      <c r="R12" s="88">
        <f t="shared" si="8"/>
        <v>0</v>
      </c>
    </row>
    <row r="13" spans="1:30" x14ac:dyDescent="0.2">
      <c r="A13" s="165">
        <v>4121</v>
      </c>
      <c r="B13" s="47" t="s">
        <v>23</v>
      </c>
      <c r="C13" s="26">
        <v>65717</v>
      </c>
      <c r="D13" s="166">
        <v>50651.15</v>
      </c>
      <c r="E13" s="209">
        <v>5914.31</v>
      </c>
      <c r="F13" s="209">
        <v>5257.16</v>
      </c>
      <c r="G13" s="209">
        <v>3285.73</v>
      </c>
      <c r="H13" s="209">
        <v>5914.31</v>
      </c>
      <c r="I13" s="221">
        <v>281.75</v>
      </c>
      <c r="J13" s="221">
        <v>3912.55</v>
      </c>
      <c r="K13" s="89">
        <f t="shared" si="6"/>
        <v>4558.6035000000002</v>
      </c>
      <c r="L13" s="89">
        <f t="shared" si="6"/>
        <v>4558.6035000000002</v>
      </c>
      <c r="M13" s="90">
        <f>SUM($D13*5%)</f>
        <v>2532.5575000000003</v>
      </c>
      <c r="N13" s="90">
        <f>SUM($D13*6%)</f>
        <v>3039.069</v>
      </c>
      <c r="O13" s="91">
        <f>SUM($D13*12.5%)</f>
        <v>6331.3937500000002</v>
      </c>
      <c r="P13" s="91">
        <f>($D13-SUM($E13:O13))/1</f>
        <v>5065.112749999993</v>
      </c>
      <c r="Q13" s="24">
        <f t="shared" si="4"/>
        <v>50651.15</v>
      </c>
      <c r="R13" s="88">
        <f t="shared" si="5"/>
        <v>0</v>
      </c>
    </row>
    <row r="14" spans="1:30" x14ac:dyDescent="0.2">
      <c r="A14" s="165">
        <v>4155</v>
      </c>
      <c r="B14" s="47" t="s">
        <v>24</v>
      </c>
      <c r="C14" s="26">
        <v>49177</v>
      </c>
      <c r="D14" s="166">
        <v>48743.68</v>
      </c>
      <c r="E14" s="209">
        <v>0</v>
      </c>
      <c r="F14" s="209">
        <v>8286.43</v>
      </c>
      <c r="G14" s="209">
        <v>2437.1799999999998</v>
      </c>
      <c r="H14" s="209">
        <v>4386.93</v>
      </c>
      <c r="I14" s="221">
        <v>3929.29</v>
      </c>
      <c r="J14" s="221">
        <v>4600.8500000000004</v>
      </c>
      <c r="K14" s="89">
        <f t="shared" ref="K14:L15" si="9">SUM($D14*9%)</f>
        <v>4386.9312</v>
      </c>
      <c r="L14" s="89">
        <f t="shared" si="9"/>
        <v>4386.9312</v>
      </c>
      <c r="M14" s="90">
        <f t="shared" ref="M14:M15" si="10">SUM($D14*5%)</f>
        <v>2437.1840000000002</v>
      </c>
      <c r="N14" s="90">
        <f t="shared" ref="N14:N15" si="11">SUM($D14*6%)</f>
        <v>2924.6207999999997</v>
      </c>
      <c r="O14" s="91">
        <f t="shared" ref="O14:O15" si="12">SUM($D14*12.5%)</f>
        <v>6092.96</v>
      </c>
      <c r="P14" s="91">
        <f>($D14-SUM($E14:O14))/1</f>
        <v>4874.3728000000046</v>
      </c>
      <c r="Q14" s="24">
        <f t="shared" si="4"/>
        <v>48743.68</v>
      </c>
      <c r="R14" s="88">
        <f t="shared" si="5"/>
        <v>0</v>
      </c>
    </row>
    <row r="15" spans="1:30" x14ac:dyDescent="0.2">
      <c r="A15" s="165" t="s">
        <v>19</v>
      </c>
      <c r="B15" s="47" t="s">
        <v>25</v>
      </c>
      <c r="C15" s="26">
        <v>0</v>
      </c>
      <c r="D15" s="166">
        <v>0</v>
      </c>
      <c r="E15" s="209">
        <v>0</v>
      </c>
      <c r="F15" s="209">
        <v>0</v>
      </c>
      <c r="G15" s="209">
        <v>0</v>
      </c>
      <c r="H15" s="209">
        <v>0</v>
      </c>
      <c r="I15" s="221">
        <v>0</v>
      </c>
      <c r="J15" s="221">
        <v>0</v>
      </c>
      <c r="K15" s="89">
        <f t="shared" si="9"/>
        <v>0</v>
      </c>
      <c r="L15" s="89">
        <f t="shared" si="9"/>
        <v>0</v>
      </c>
      <c r="M15" s="90">
        <f t="shared" si="10"/>
        <v>0</v>
      </c>
      <c r="N15" s="90">
        <f t="shared" si="11"/>
        <v>0</v>
      </c>
      <c r="O15" s="91">
        <f t="shared" si="12"/>
        <v>0</v>
      </c>
      <c r="P15" s="91">
        <f>($D15-SUM($E15:O15))/1</f>
        <v>0</v>
      </c>
      <c r="Q15" s="24">
        <f t="shared" si="4"/>
        <v>0</v>
      </c>
      <c r="R15" s="88">
        <f t="shared" si="5"/>
        <v>0</v>
      </c>
    </row>
    <row r="16" spans="1:30" x14ac:dyDescent="0.2">
      <c r="A16" s="165" t="s">
        <v>91</v>
      </c>
      <c r="B16" s="47" t="s">
        <v>92</v>
      </c>
      <c r="C16" s="26">
        <v>0</v>
      </c>
      <c r="D16" s="166">
        <v>0</v>
      </c>
      <c r="E16" s="209">
        <v>0</v>
      </c>
      <c r="F16" s="209">
        <v>0</v>
      </c>
      <c r="G16" s="209">
        <v>0</v>
      </c>
      <c r="H16" s="209">
        <v>0</v>
      </c>
      <c r="I16" s="221">
        <v>0</v>
      </c>
      <c r="J16" s="221">
        <v>0</v>
      </c>
      <c r="K16" s="89"/>
      <c r="L16" s="89"/>
      <c r="M16" s="89"/>
      <c r="N16" s="89"/>
      <c r="O16" s="91">
        <f>D16</f>
        <v>0</v>
      </c>
      <c r="P16" s="91"/>
      <c r="Q16" s="24">
        <f t="shared" si="4"/>
        <v>0</v>
      </c>
      <c r="R16" s="88">
        <f t="shared" si="5"/>
        <v>0</v>
      </c>
    </row>
    <row r="17" spans="1:30" x14ac:dyDescent="0.2">
      <c r="A17" s="165" t="s">
        <v>111</v>
      </c>
      <c r="B17" s="47" t="s">
        <v>112</v>
      </c>
      <c r="C17" s="26">
        <v>0</v>
      </c>
      <c r="D17" s="166">
        <v>0</v>
      </c>
      <c r="E17" s="209">
        <v>0</v>
      </c>
      <c r="F17" s="209">
        <v>0</v>
      </c>
      <c r="G17" s="209">
        <v>0</v>
      </c>
      <c r="H17" s="209">
        <v>0</v>
      </c>
      <c r="I17" s="221">
        <v>0</v>
      </c>
      <c r="J17" s="221">
        <v>0</v>
      </c>
      <c r="K17" s="89"/>
      <c r="L17" s="89"/>
      <c r="M17" s="89"/>
      <c r="N17" s="89"/>
      <c r="O17" s="91">
        <f>D17</f>
        <v>0</v>
      </c>
      <c r="P17" s="91"/>
      <c r="Q17" s="24">
        <f t="shared" ref="Q17" si="13">SUM(E17:P17)</f>
        <v>0</v>
      </c>
      <c r="R17" s="88">
        <f t="shared" ref="R17" si="14">Q17-D17</f>
        <v>0</v>
      </c>
    </row>
    <row r="18" spans="1:30" x14ac:dyDescent="0.2">
      <c r="A18" s="165" t="s">
        <v>30</v>
      </c>
      <c r="B18" s="47" t="s">
        <v>31</v>
      </c>
      <c r="C18" s="26">
        <v>0</v>
      </c>
      <c r="D18" s="166">
        <v>0</v>
      </c>
      <c r="E18" s="209">
        <v>0</v>
      </c>
      <c r="F18" s="209">
        <v>0</v>
      </c>
      <c r="G18" s="209">
        <v>0</v>
      </c>
      <c r="H18" s="209">
        <v>0</v>
      </c>
      <c r="I18" s="221">
        <v>0</v>
      </c>
      <c r="J18" s="221">
        <v>0</v>
      </c>
      <c r="K18" s="89">
        <f>($D18-SUM($E18:J18))/6</f>
        <v>0</v>
      </c>
      <c r="L18" s="89">
        <f>($D18-SUM($E18:K18))/5</f>
        <v>0</v>
      </c>
      <c r="M18" s="89">
        <f>($D18-SUM($E18:L18))/4</f>
        <v>0</v>
      </c>
      <c r="N18" s="89">
        <f>($D18-SUM($E18:M18))/3</f>
        <v>0</v>
      </c>
      <c r="O18" s="91">
        <f>($D18-SUM($E18:N18))/2</f>
        <v>0</v>
      </c>
      <c r="P18" s="91">
        <f>($D18-SUM($E18:O18))/1</f>
        <v>0</v>
      </c>
      <c r="Q18" s="24">
        <f t="shared" si="4"/>
        <v>0</v>
      </c>
      <c r="R18" s="88">
        <f t="shared" si="5"/>
        <v>0</v>
      </c>
    </row>
    <row r="19" spans="1:30" x14ac:dyDescent="0.2">
      <c r="A19" s="165" t="s">
        <v>32</v>
      </c>
      <c r="B19" s="47" t="s">
        <v>29</v>
      </c>
      <c r="C19" s="26">
        <v>0</v>
      </c>
      <c r="D19" s="166">
        <v>0</v>
      </c>
      <c r="E19" s="209">
        <v>0</v>
      </c>
      <c r="F19" s="209">
        <v>0</v>
      </c>
      <c r="G19" s="209">
        <v>0</v>
      </c>
      <c r="H19" s="209">
        <v>0</v>
      </c>
      <c r="I19" s="221">
        <v>0</v>
      </c>
      <c r="J19" s="221">
        <v>0</v>
      </c>
      <c r="K19" s="89">
        <f>($D19-SUM($E19:J19))/6</f>
        <v>0</v>
      </c>
      <c r="L19" s="89">
        <f>($D19-SUM($E19:K19))/5</f>
        <v>0</v>
      </c>
      <c r="M19" s="89">
        <f>($D19-SUM($E19:L19))/4</f>
        <v>0</v>
      </c>
      <c r="N19" s="89">
        <f>($D19-SUM($E19:M19))/3</f>
        <v>0</v>
      </c>
      <c r="O19" s="91">
        <f>($D19-SUM($E19:N19))/2</f>
        <v>0</v>
      </c>
      <c r="P19" s="91">
        <f>($D19-SUM($E19:O19))/1</f>
        <v>0</v>
      </c>
      <c r="Q19" s="24">
        <f t="shared" si="4"/>
        <v>0</v>
      </c>
      <c r="R19" s="88">
        <f t="shared" si="5"/>
        <v>0</v>
      </c>
    </row>
    <row r="20" spans="1:30" x14ac:dyDescent="0.2">
      <c r="A20" s="165">
        <v>4198</v>
      </c>
      <c r="B20" s="47" t="s">
        <v>1</v>
      </c>
      <c r="C20" s="26">
        <v>2000</v>
      </c>
      <c r="D20" s="166">
        <f>AVERAGE(E20:J20)*10</f>
        <v>113.85</v>
      </c>
      <c r="E20" s="209">
        <v>0</v>
      </c>
      <c r="F20" s="209">
        <v>15.3</v>
      </c>
      <c r="G20" s="209">
        <v>17.07</v>
      </c>
      <c r="H20" s="209">
        <v>12.81</v>
      </c>
      <c r="I20" s="221">
        <v>10.08</v>
      </c>
      <c r="J20" s="221">
        <v>13.05</v>
      </c>
      <c r="K20" s="89">
        <f>($D20-SUM($E20:J20))/6</f>
        <v>7.589999999999999</v>
      </c>
      <c r="L20" s="89">
        <f>($D20-SUM($E20:K20))/5</f>
        <v>7.5899999999999981</v>
      </c>
      <c r="M20" s="90">
        <f>($D20-SUM($E20:L20))/4</f>
        <v>7.5899999999999963</v>
      </c>
      <c r="N20" s="90">
        <f>($D20-SUM($E20:M20))/3</f>
        <v>7.5899999999999936</v>
      </c>
      <c r="O20" s="91">
        <f>($D20-SUM($E20:N20))/2</f>
        <v>7.5899999999999963</v>
      </c>
      <c r="P20" s="91">
        <f>($D20-SUM($E20:O20))/1</f>
        <v>7.5900000000000034</v>
      </c>
      <c r="Q20" s="24">
        <f t="shared" si="4"/>
        <v>113.85</v>
      </c>
      <c r="R20" s="88">
        <f t="shared" si="5"/>
        <v>0</v>
      </c>
    </row>
    <row r="21" spans="1:30" x14ac:dyDescent="0.2">
      <c r="A21" s="165" t="s">
        <v>113</v>
      </c>
      <c r="B21" s="47" t="s">
        <v>115</v>
      </c>
      <c r="C21" s="26">
        <v>400</v>
      </c>
      <c r="D21" s="166">
        <f t="shared" ref="D21:D22" si="15">AVERAGE(E21:J21)*10</f>
        <v>2045.7500000000002</v>
      </c>
      <c r="E21" s="209">
        <v>0</v>
      </c>
      <c r="F21" s="209">
        <v>274.39999999999998</v>
      </c>
      <c r="G21" s="209">
        <v>306.25</v>
      </c>
      <c r="H21" s="209">
        <v>230.3</v>
      </c>
      <c r="I21" s="221">
        <v>181.3</v>
      </c>
      <c r="J21" s="221">
        <v>235.2</v>
      </c>
      <c r="K21" s="89">
        <f>($D21-SUM($E21:J21))/6</f>
        <v>136.38333333333335</v>
      </c>
      <c r="L21" s="89">
        <f>($D21-SUM($E21:K21))/5</f>
        <v>136.38333333333335</v>
      </c>
      <c r="M21" s="90">
        <f>($D21-SUM($E21:L21))/4</f>
        <v>136.38333333333333</v>
      </c>
      <c r="N21" s="90">
        <f>($D21-SUM($E21:M21))/3</f>
        <v>136.3833333333333</v>
      </c>
      <c r="O21" s="91">
        <f>($D21-SUM($E21:N21))/2</f>
        <v>136.38333333333333</v>
      </c>
      <c r="P21" s="91">
        <f>($D21-SUM($E21:O21))/1</f>
        <v>136.38333333333344</v>
      </c>
      <c r="Q21" s="24">
        <f t="shared" ref="Q21:Q22" si="16">SUM(E21:P21)</f>
        <v>2045.7500000000002</v>
      </c>
      <c r="R21" s="88">
        <f t="shared" ref="R21:R22" si="17">Q21-D21</f>
        <v>0</v>
      </c>
    </row>
    <row r="22" spans="1:30" x14ac:dyDescent="0.2">
      <c r="A22" s="165" t="s">
        <v>114</v>
      </c>
      <c r="B22" s="47" t="s">
        <v>116</v>
      </c>
      <c r="C22" s="26">
        <v>372</v>
      </c>
      <c r="D22" s="166">
        <f t="shared" si="15"/>
        <v>4076.8333333333339</v>
      </c>
      <c r="E22" s="209">
        <v>0</v>
      </c>
      <c r="F22" s="209">
        <v>533.33000000000004</v>
      </c>
      <c r="G22" s="209">
        <v>589.47</v>
      </c>
      <c r="H22" s="209">
        <v>457.14</v>
      </c>
      <c r="I22" s="221">
        <v>364.91</v>
      </c>
      <c r="J22" s="221">
        <v>501.25</v>
      </c>
      <c r="K22" s="89">
        <f>($D22-SUM($E22:J22))/6</f>
        <v>271.78888888888895</v>
      </c>
      <c r="L22" s="89">
        <f>($D22-SUM($E22:K22))/5</f>
        <v>271.78888888888895</v>
      </c>
      <c r="M22" s="90">
        <f>($D22-SUM($E22:L22))/4</f>
        <v>271.78888888888901</v>
      </c>
      <c r="N22" s="90">
        <f>($D22-SUM($E22:M22))/3</f>
        <v>271.78888888888895</v>
      </c>
      <c r="O22" s="91">
        <f>($D22-SUM($E22:N22))/2</f>
        <v>271.78888888888901</v>
      </c>
      <c r="P22" s="91">
        <f>($D22-SUM($E22:O22))/1</f>
        <v>271.78888888888923</v>
      </c>
      <c r="Q22" s="24">
        <f t="shared" si="16"/>
        <v>4076.8333333333339</v>
      </c>
      <c r="R22" s="88">
        <f t="shared" si="17"/>
        <v>0</v>
      </c>
    </row>
    <row r="23" spans="1:30" s="74" customFormat="1" ht="13.5" thickBot="1" x14ac:dyDescent="0.25">
      <c r="A23" s="168">
        <v>4199</v>
      </c>
      <c r="B23" s="76" t="s">
        <v>26</v>
      </c>
      <c r="C23" s="77">
        <v>191844</v>
      </c>
      <c r="D23" s="169">
        <v>191844.93</v>
      </c>
      <c r="E23" s="209">
        <v>17266.04</v>
      </c>
      <c r="F23" s="209">
        <v>15347.6</v>
      </c>
      <c r="G23" s="209">
        <v>9592.24</v>
      </c>
      <c r="H23" s="209">
        <v>17266.05</v>
      </c>
      <c r="I23" s="221">
        <v>16306.82</v>
      </c>
      <c r="J23" s="221">
        <v>4467.46</v>
      </c>
      <c r="K23" s="89">
        <f>SUM($D23*9%)</f>
        <v>17266.043699999998</v>
      </c>
      <c r="L23" s="89">
        <f>SUM($D23*9%)</f>
        <v>17266.043699999998</v>
      </c>
      <c r="M23" s="90">
        <f>SUM($D23*5%)</f>
        <v>9592.2464999999993</v>
      </c>
      <c r="N23" s="90">
        <f>SUM($D23*6%)</f>
        <v>11510.6958</v>
      </c>
      <c r="O23" s="91">
        <f>SUM($D23*12.5%)</f>
        <v>23980.616249999999</v>
      </c>
      <c r="P23" s="91">
        <f>($D23-SUM($E23:O23))/1</f>
        <v>31983.074050000025</v>
      </c>
      <c r="Q23" s="72">
        <f>SUM(E23:P23)</f>
        <v>191844.93</v>
      </c>
      <c r="R23" s="88">
        <f>Q23-D23</f>
        <v>0</v>
      </c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</row>
    <row r="24" spans="1:30" ht="13.5" thickTop="1" x14ac:dyDescent="0.2">
      <c r="A24" s="165"/>
      <c r="B24" s="47"/>
      <c r="C24" s="26">
        <v>0</v>
      </c>
      <c r="D24" s="166">
        <v>0</v>
      </c>
      <c r="E24" s="209">
        <v>0</v>
      </c>
      <c r="F24" s="209">
        <v>0</v>
      </c>
      <c r="G24" s="209">
        <v>0</v>
      </c>
      <c r="H24" s="209">
        <v>0</v>
      </c>
      <c r="I24" s="221">
        <v>0</v>
      </c>
      <c r="J24" s="221">
        <v>0</v>
      </c>
      <c r="K24" s="89">
        <f>($D24-SUM($E24:J24))/6</f>
        <v>0</v>
      </c>
      <c r="L24" s="89">
        <f>($D24-SUM($E24:K24))/5</f>
        <v>0</v>
      </c>
      <c r="M24" s="90">
        <f>($D24-SUM($E24:L24))/4</f>
        <v>0</v>
      </c>
      <c r="N24" s="90">
        <f>($D24-SUM($E24:M24))/3</f>
        <v>0</v>
      </c>
      <c r="O24" s="91">
        <f>($D24-SUM($E24:N24))/2</f>
        <v>0</v>
      </c>
      <c r="P24" s="91">
        <f>($D24-SUM($E24:O24))/1</f>
        <v>0</v>
      </c>
      <c r="Q24" s="24">
        <f t="shared" ref="Q24" si="18">SUM(E24:P24)</f>
        <v>0</v>
      </c>
      <c r="R24" s="88">
        <f t="shared" ref="R24" si="19">Q24-D24</f>
        <v>0</v>
      </c>
    </row>
    <row r="25" spans="1:30" x14ac:dyDescent="0.2">
      <c r="I25" s="2"/>
    </row>
    <row r="26" spans="1:30" x14ac:dyDescent="0.2">
      <c r="A26" s="87" t="s">
        <v>85</v>
      </c>
      <c r="B26" s="170"/>
      <c r="C26" s="171"/>
      <c r="D26" s="171"/>
      <c r="E26" s="78"/>
      <c r="F26" s="78"/>
      <c r="G26" s="78"/>
      <c r="H26" s="78"/>
      <c r="I26" s="78"/>
      <c r="J26" s="78"/>
      <c r="K26" s="78"/>
      <c r="L26" s="78"/>
      <c r="M26" s="79"/>
      <c r="N26" s="79"/>
      <c r="O26" s="80"/>
      <c r="P26" s="81"/>
      <c r="Q26" s="24"/>
      <c r="R26" s="88"/>
    </row>
    <row r="27" spans="1:30" x14ac:dyDescent="0.2">
      <c r="A27" s="165">
        <v>6124</v>
      </c>
      <c r="B27" s="47" t="s">
        <v>107</v>
      </c>
      <c r="C27" s="26">
        <v>11000</v>
      </c>
      <c r="D27" s="166">
        <v>0</v>
      </c>
      <c r="E27" s="209">
        <v>0</v>
      </c>
      <c r="F27" s="209">
        <v>0</v>
      </c>
      <c r="G27" s="209">
        <v>0</v>
      </c>
      <c r="H27" s="209">
        <v>0</v>
      </c>
      <c r="I27" s="221">
        <v>0</v>
      </c>
      <c r="J27" s="221">
        <v>0</v>
      </c>
      <c r="K27" s="89">
        <f>($D27-SUM($E27:J27))/6</f>
        <v>0</v>
      </c>
      <c r="L27" s="89">
        <f>($D27-SUM($E27:K27))/5</f>
        <v>0</v>
      </c>
      <c r="M27" s="89">
        <f>($D27-SUM($E27:L27))/4</f>
        <v>0</v>
      </c>
      <c r="N27" s="89">
        <f>($D27-SUM($E27:M27))/3</f>
        <v>0</v>
      </c>
      <c r="O27" s="91">
        <f>($D27-SUM($E27:N27))/2</f>
        <v>0</v>
      </c>
      <c r="P27" s="91">
        <f>($D27-SUM($E27:O27))/1</f>
        <v>0</v>
      </c>
      <c r="Q27" s="24">
        <f t="shared" si="4"/>
        <v>0</v>
      </c>
      <c r="R27" s="88">
        <f t="shared" si="5"/>
        <v>0</v>
      </c>
    </row>
    <row r="28" spans="1:30" x14ac:dyDescent="0.2">
      <c r="A28" s="165">
        <v>6151</v>
      </c>
      <c r="B28" s="47" t="s">
        <v>16</v>
      </c>
      <c r="C28" s="26">
        <v>1170</v>
      </c>
      <c r="D28" s="166">
        <v>1186</v>
      </c>
      <c r="E28" s="209">
        <v>0</v>
      </c>
      <c r="F28" s="209">
        <v>0</v>
      </c>
      <c r="G28" s="209">
        <v>0</v>
      </c>
      <c r="H28" s="209">
        <v>0</v>
      </c>
      <c r="I28" s="221">
        <v>0</v>
      </c>
      <c r="J28" s="221">
        <v>0</v>
      </c>
      <c r="K28" s="89">
        <f>($D28-SUM($E28:J28))/6</f>
        <v>197.66666666666666</v>
      </c>
      <c r="L28" s="89">
        <f>($D28-SUM($E28:K28))/5</f>
        <v>197.66666666666669</v>
      </c>
      <c r="M28" s="89">
        <f>($D28-SUM($E28:L28))/4</f>
        <v>197.66666666666666</v>
      </c>
      <c r="N28" s="89">
        <f>($D28-SUM($E28:M28))/3</f>
        <v>197.66666666666666</v>
      </c>
      <c r="O28" s="91">
        <f>($D28-SUM($E28:N28))/2</f>
        <v>197.66666666666669</v>
      </c>
      <c r="P28" s="91">
        <f>($D28-SUM($E28:O28))/1</f>
        <v>197.66666666666674</v>
      </c>
      <c r="Q28" s="24">
        <f t="shared" ref="Q28" si="20">SUM(E28:P28)</f>
        <v>1186</v>
      </c>
      <c r="R28" s="88">
        <f t="shared" ref="R28" si="21">Q28-D28</f>
        <v>0</v>
      </c>
    </row>
    <row r="29" spans="1:30" x14ac:dyDescent="0.2">
      <c r="A29" s="165">
        <v>6152</v>
      </c>
      <c r="B29" s="47" t="s">
        <v>27</v>
      </c>
      <c r="C29" s="26">
        <v>1500</v>
      </c>
      <c r="D29" s="166">
        <v>1673</v>
      </c>
      <c r="E29" s="209">
        <v>0</v>
      </c>
      <c r="F29" s="209">
        <v>0</v>
      </c>
      <c r="G29" s="209">
        <v>1575</v>
      </c>
      <c r="H29" s="209">
        <v>0</v>
      </c>
      <c r="I29" s="221">
        <v>0</v>
      </c>
      <c r="J29" s="221">
        <v>0</v>
      </c>
      <c r="K29" s="89">
        <f>($D29-SUM($E29:J29))/6</f>
        <v>16.333333333333332</v>
      </c>
      <c r="L29" s="89">
        <f>($D29-SUM($E29:K29))/5</f>
        <v>16.33333333333335</v>
      </c>
      <c r="M29" s="89">
        <f>($D29-SUM($E29:L29))/4</f>
        <v>16.333333333333371</v>
      </c>
      <c r="N29" s="89">
        <f>($D29-SUM($E29:M29))/3</f>
        <v>16.333333333333332</v>
      </c>
      <c r="O29" s="91">
        <f>($D29-SUM($E29:N29))/2</f>
        <v>16.333333333333371</v>
      </c>
      <c r="P29" s="91">
        <f>($D29-SUM($E29:O29))/1</f>
        <v>16.333333333333485</v>
      </c>
      <c r="Q29" s="24">
        <f>SUM(E29:P29)</f>
        <v>1673</v>
      </c>
      <c r="R29" s="88">
        <f t="shared" si="5"/>
        <v>0</v>
      </c>
    </row>
    <row r="30" spans="1:30" x14ac:dyDescent="0.2">
      <c r="A30" s="165">
        <v>615201</v>
      </c>
      <c r="B30" s="47" t="s">
        <v>120</v>
      </c>
      <c r="C30" s="26">
        <v>10000</v>
      </c>
      <c r="D30" s="166">
        <v>10000</v>
      </c>
      <c r="E30" s="209">
        <v>0</v>
      </c>
      <c r="F30" s="209">
        <v>0</v>
      </c>
      <c r="G30" s="209">
        <v>0</v>
      </c>
      <c r="H30" s="209">
        <v>1575</v>
      </c>
      <c r="I30" s="221">
        <v>0</v>
      </c>
      <c r="J30" s="221">
        <v>1715.18</v>
      </c>
      <c r="K30" s="89">
        <f>($D30-SUM($E30:J30))/6</f>
        <v>1118.3033333333333</v>
      </c>
      <c r="L30" s="89">
        <f>($D30-SUM($E30:K30))/5</f>
        <v>1118.3033333333333</v>
      </c>
      <c r="M30" s="89">
        <f>($D30-SUM($E30:L30))/4</f>
        <v>1118.3033333333333</v>
      </c>
      <c r="N30" s="89">
        <f>($D30-SUM($E30:M30))/3</f>
        <v>1118.3033333333333</v>
      </c>
      <c r="O30" s="91">
        <f>($D30-SUM($E30:N30))/2</f>
        <v>1118.3033333333333</v>
      </c>
      <c r="P30" s="91">
        <f>($D30-SUM($E30:O30))/1</f>
        <v>1118.3033333333333</v>
      </c>
      <c r="Q30" s="24">
        <f>SUM(E30:P30)</f>
        <v>10000</v>
      </c>
      <c r="R30" s="88"/>
    </row>
    <row r="31" spans="1:30" x14ac:dyDescent="0.2">
      <c r="A31" s="203">
        <v>615201</v>
      </c>
      <c r="B31" s="204" t="s">
        <v>121</v>
      </c>
      <c r="C31" s="205">
        <v>0</v>
      </c>
      <c r="D31" s="206">
        <v>3212.01</v>
      </c>
      <c r="E31" s="209">
        <v>3212.01</v>
      </c>
      <c r="F31" s="209">
        <v>0</v>
      </c>
      <c r="G31" s="209">
        <v>0</v>
      </c>
      <c r="H31" s="209">
        <v>0</v>
      </c>
      <c r="I31" s="221">
        <v>0</v>
      </c>
      <c r="J31" s="221">
        <v>0</v>
      </c>
      <c r="K31" s="89">
        <f>($D31-SUM($E31:J31))/6</f>
        <v>0</v>
      </c>
      <c r="L31" s="89">
        <f>($D31-SUM($E31:K31))/5</f>
        <v>0</v>
      </c>
      <c r="M31" s="89">
        <f>($D31-SUM($E31:L31))/4</f>
        <v>0</v>
      </c>
      <c r="N31" s="89">
        <f>($D31-SUM($E31:M31))/3</f>
        <v>0</v>
      </c>
      <c r="O31" s="91">
        <f>($D31-SUM($E31:N31))/2</f>
        <v>0</v>
      </c>
      <c r="P31" s="91">
        <f>($D31-SUM($E31:O31))/1</f>
        <v>0</v>
      </c>
      <c r="Q31" s="24">
        <f t="shared" si="4"/>
        <v>3212.01</v>
      </c>
      <c r="R31" s="88">
        <f t="shared" si="5"/>
        <v>0</v>
      </c>
    </row>
    <row r="32" spans="1:30" x14ac:dyDescent="0.2">
      <c r="A32" s="165">
        <v>6198</v>
      </c>
      <c r="B32" s="47" t="s">
        <v>33</v>
      </c>
      <c r="C32" s="26">
        <v>30000</v>
      </c>
      <c r="D32" s="166">
        <v>30000</v>
      </c>
      <c r="E32" s="209">
        <v>0</v>
      </c>
      <c r="F32" s="209">
        <v>2817.19</v>
      </c>
      <c r="G32" s="209">
        <v>3119.71</v>
      </c>
      <c r="H32" s="209">
        <v>2407.6</v>
      </c>
      <c r="I32" s="221">
        <v>1932.33</v>
      </c>
      <c r="J32" s="221">
        <v>2649.51</v>
      </c>
      <c r="K32" s="89">
        <f>($D32-SUM($E32:J32))/6</f>
        <v>2845.61</v>
      </c>
      <c r="L32" s="89">
        <f>($D32-SUM($E32:K32))/5</f>
        <v>2845.6099999999997</v>
      </c>
      <c r="M32" s="89">
        <f>($D32-SUM($E32:L32))/4</f>
        <v>2845.6099999999997</v>
      </c>
      <c r="N32" s="89">
        <f>($D32-SUM($E32:M32))/3</f>
        <v>2845.6099999999992</v>
      </c>
      <c r="O32" s="91">
        <f>($D32-SUM($E32:N32))/2</f>
        <v>2845.6099999999988</v>
      </c>
      <c r="P32" s="91">
        <f>($D32-SUM($E32:O32))/1</f>
        <v>2845.6100000000006</v>
      </c>
      <c r="Q32" s="24">
        <f t="shared" si="4"/>
        <v>30000</v>
      </c>
      <c r="R32" s="88">
        <f t="shared" si="5"/>
        <v>0</v>
      </c>
    </row>
    <row r="33" spans="1:30" ht="13.5" thickBot="1" x14ac:dyDescent="0.25">
      <c r="A33" s="165" t="s">
        <v>110</v>
      </c>
      <c r="B33" s="47" t="s">
        <v>11</v>
      </c>
      <c r="C33" s="26">
        <v>12000</v>
      </c>
      <c r="D33" s="166">
        <v>12000</v>
      </c>
      <c r="E33" s="209">
        <v>0</v>
      </c>
      <c r="F33" s="209">
        <v>1492.08</v>
      </c>
      <c r="G33" s="209">
        <v>1664.71</v>
      </c>
      <c r="H33" s="209">
        <v>1249.3399999999999</v>
      </c>
      <c r="I33" s="221">
        <v>983.1</v>
      </c>
      <c r="J33" s="221">
        <v>1272.8399999999999</v>
      </c>
      <c r="K33" s="89">
        <f>($D33-SUM($E33:J33))/6</f>
        <v>889.65499999999986</v>
      </c>
      <c r="L33" s="89">
        <f>($D33-SUM($E33:K33))/5</f>
        <v>889.65499999999997</v>
      </c>
      <c r="M33" s="89">
        <f>($D33-SUM($E33:L33))/4</f>
        <v>889.65499999999975</v>
      </c>
      <c r="N33" s="89">
        <f>($D33-SUM($E33:M33))/3</f>
        <v>889.65500000000009</v>
      </c>
      <c r="O33" s="91">
        <f>($D33-SUM($E33:N33))/2</f>
        <v>889.65499999999975</v>
      </c>
      <c r="P33" s="91">
        <f>($D33-SUM($E33:O33))/1</f>
        <v>889.65499999999884</v>
      </c>
      <c r="Q33" s="24">
        <f t="shared" ref="Q33:Q34" si="22">SUM(E33:P33)</f>
        <v>12000</v>
      </c>
      <c r="R33" s="88">
        <f t="shared" ref="R33" si="23">Q33-D33</f>
        <v>0</v>
      </c>
    </row>
    <row r="34" spans="1:30" s="2" customFormat="1" ht="13.5" thickBot="1" x14ac:dyDescent="0.25">
      <c r="A34" s="184" t="s">
        <v>117</v>
      </c>
      <c r="B34" s="185" t="s">
        <v>76</v>
      </c>
      <c r="C34" s="188">
        <f t="shared" ref="C34:P34" si="24">SUM(C9:C33)</f>
        <v>2529727</v>
      </c>
      <c r="D34" s="189">
        <f t="shared" si="24"/>
        <v>2511786.1233333335</v>
      </c>
      <c r="E34" s="210">
        <f t="shared" si="24"/>
        <v>220273.7</v>
      </c>
      <c r="F34" s="217">
        <f t="shared" si="24"/>
        <v>206362.45999999993</v>
      </c>
      <c r="G34" s="217">
        <f t="shared" si="24"/>
        <v>130299.21000000002</v>
      </c>
      <c r="H34" s="217">
        <f t="shared" si="24"/>
        <v>227380.81999999998</v>
      </c>
      <c r="I34" s="225">
        <f t="shared" si="24"/>
        <v>217448.1</v>
      </c>
      <c r="J34" s="225">
        <f t="shared" si="24"/>
        <v>203871.74</v>
      </c>
      <c r="K34" s="8">
        <f t="shared" si="24"/>
        <v>225756.41175555557</v>
      </c>
      <c r="L34" s="8">
        <f t="shared" si="24"/>
        <v>225756.41175555557</v>
      </c>
      <c r="M34" s="9">
        <f t="shared" si="24"/>
        <v>127857.26455555554</v>
      </c>
      <c r="N34" s="9">
        <f t="shared" si="24"/>
        <v>152332.05135555554</v>
      </c>
      <c r="O34" s="9">
        <f t="shared" si="24"/>
        <v>311418.16555555566</v>
      </c>
      <c r="P34" s="9">
        <f t="shared" si="24"/>
        <v>263029.78835555539</v>
      </c>
      <c r="Q34" s="24">
        <f t="shared" si="22"/>
        <v>2511786.1233333331</v>
      </c>
      <c r="R34" s="88">
        <f t="shared" si="5"/>
        <v>0</v>
      </c>
      <c r="S34"/>
      <c r="T34"/>
      <c r="U34"/>
      <c r="V34"/>
      <c r="W34"/>
      <c r="X34"/>
      <c r="Y34"/>
      <c r="Z34"/>
      <c r="AA34"/>
      <c r="AB34"/>
      <c r="AC34"/>
      <c r="AD34"/>
    </row>
    <row r="35" spans="1:30" ht="13.5" thickBot="1" x14ac:dyDescent="0.25">
      <c r="A35" s="34"/>
      <c r="B35" s="34"/>
      <c r="C35" s="5"/>
      <c r="D35" s="27"/>
      <c r="E35" s="222"/>
      <c r="F35" s="10"/>
      <c r="G35" s="10"/>
      <c r="H35" s="10"/>
      <c r="I35" s="11"/>
      <c r="J35" s="11"/>
      <c r="K35" s="11"/>
      <c r="L35" s="11"/>
      <c r="M35" s="12"/>
      <c r="N35" s="12"/>
      <c r="O35" s="12"/>
      <c r="P35" s="12"/>
      <c r="R35" s="88"/>
    </row>
    <row r="36" spans="1:30" x14ac:dyDescent="0.2">
      <c r="A36" s="174" t="s">
        <v>84</v>
      </c>
      <c r="B36" s="175"/>
      <c r="C36" s="143"/>
      <c r="D36" s="144"/>
      <c r="E36" s="84"/>
      <c r="F36" s="84"/>
      <c r="G36" s="84"/>
      <c r="H36" s="84"/>
      <c r="I36" s="85"/>
      <c r="J36" s="85"/>
      <c r="K36" s="85"/>
      <c r="L36" s="85"/>
      <c r="M36" s="85"/>
      <c r="N36" s="85"/>
      <c r="O36" s="85"/>
      <c r="P36" s="86"/>
      <c r="R36" s="88"/>
    </row>
    <row r="37" spans="1:30" x14ac:dyDescent="0.2">
      <c r="A37" s="147" t="s">
        <v>55</v>
      </c>
      <c r="B37" s="47" t="s">
        <v>56</v>
      </c>
      <c r="C37" s="30">
        <v>7000</v>
      </c>
      <c r="D37" s="157">
        <v>25000</v>
      </c>
      <c r="E37" s="209">
        <v>2289.56</v>
      </c>
      <c r="F37" s="209">
        <v>2247.91</v>
      </c>
      <c r="G37" s="209">
        <v>2185.84</v>
      </c>
      <c r="H37" s="221">
        <v>3572.43</v>
      </c>
      <c r="I37" s="221">
        <v>0</v>
      </c>
      <c r="J37" s="221">
        <v>1978.25</v>
      </c>
      <c r="K37" s="89">
        <f>($D37-SUM($E37:J37))/6</f>
        <v>2121.0016666666666</v>
      </c>
      <c r="L37" s="89">
        <f>($D37-SUM($E37:K37))/5</f>
        <v>2121.0016666666666</v>
      </c>
      <c r="M37" s="89">
        <f>($D37-SUM($E37:L37))/4</f>
        <v>2121.001666666667</v>
      </c>
      <c r="N37" s="89">
        <f>($D37-SUM($E37:M37))/3</f>
        <v>2121.001666666667</v>
      </c>
      <c r="O37" s="92">
        <f>($D37-SUM($E37:N37))/2</f>
        <v>2121.001666666667</v>
      </c>
      <c r="P37" s="92">
        <f>($D37-SUM($E37:O37))/1</f>
        <v>2121.001666666667</v>
      </c>
      <c r="Q37" s="24">
        <f t="shared" ref="Q37:Q43" si="25">SUM(E37:P37)</f>
        <v>25000</v>
      </c>
      <c r="R37" s="88">
        <f t="shared" si="5"/>
        <v>0</v>
      </c>
    </row>
    <row r="38" spans="1:30" x14ac:dyDescent="0.2">
      <c r="A38" s="147" t="s">
        <v>35</v>
      </c>
      <c r="B38" s="47" t="s">
        <v>57</v>
      </c>
      <c r="C38" s="30">
        <v>4500</v>
      </c>
      <c r="D38" s="157">
        <v>12000</v>
      </c>
      <c r="E38" s="209">
        <f>5647.65-46.03</f>
        <v>5601.62</v>
      </c>
      <c r="F38" s="209">
        <v>440</v>
      </c>
      <c r="G38" s="209">
        <v>1462</v>
      </c>
      <c r="H38" s="221">
        <v>529.9</v>
      </c>
      <c r="I38" s="221">
        <v>1225.3499999999999</v>
      </c>
      <c r="J38" s="221">
        <f>1266.42-250.47</f>
        <v>1015.95</v>
      </c>
      <c r="K38" s="89">
        <f>($D38-SUM($E38:J38))/6</f>
        <v>287.53000000000003</v>
      </c>
      <c r="L38" s="89">
        <f>($D38-SUM($E38:K38))/5</f>
        <v>287.52999999999992</v>
      </c>
      <c r="M38" s="89">
        <f>($D38-SUM($E38:L38))/4</f>
        <v>287.52999999999975</v>
      </c>
      <c r="N38" s="89">
        <f>($D38-SUM($E38:M38))/3</f>
        <v>287.53000000000003</v>
      </c>
      <c r="O38" s="92">
        <f>($D38-SUM($E38:N38))/2</f>
        <v>287.52999999999975</v>
      </c>
      <c r="P38" s="92">
        <f>($D38-SUM($E38:O38))/1</f>
        <v>287.52999999999884</v>
      </c>
      <c r="Q38" s="24">
        <f t="shared" si="25"/>
        <v>12000</v>
      </c>
      <c r="R38" s="88">
        <f t="shared" si="5"/>
        <v>0</v>
      </c>
    </row>
    <row r="39" spans="1:30" x14ac:dyDescent="0.2">
      <c r="A39" s="147" t="s">
        <v>124</v>
      </c>
      <c r="B39" s="47" t="s">
        <v>122</v>
      </c>
      <c r="C39" s="30"/>
      <c r="D39" s="157">
        <v>26974</v>
      </c>
      <c r="E39" s="209">
        <v>0</v>
      </c>
      <c r="F39" s="209">
        <v>0</v>
      </c>
      <c r="G39" s="209">
        <v>20403.5</v>
      </c>
      <c r="H39" s="221">
        <v>0</v>
      </c>
      <c r="I39" s="221">
        <v>0</v>
      </c>
      <c r="J39" s="221">
        <v>0</v>
      </c>
      <c r="K39" s="89">
        <f>($D39-SUM($E39:J39))/6</f>
        <v>1095.0833333333333</v>
      </c>
      <c r="L39" s="89">
        <f>($D39-SUM($E39:K39))/5</f>
        <v>1095.0833333333335</v>
      </c>
      <c r="M39" s="89">
        <f>($D39-SUM($E39:L39))/4</f>
        <v>1095.0833333333339</v>
      </c>
      <c r="N39" s="89">
        <f>($D39-SUM($E39:M39))/3</f>
        <v>1095.0833333333333</v>
      </c>
      <c r="O39" s="92">
        <f>($D39-SUM($E39:N39))/2</f>
        <v>1095.0833333333339</v>
      </c>
      <c r="P39" s="92">
        <f>($D39-SUM($E39:O39))/1</f>
        <v>1095.0833333333358</v>
      </c>
      <c r="Q39" s="24">
        <f t="shared" ref="Q39" si="26">SUM(E39:P39)</f>
        <v>26974</v>
      </c>
      <c r="R39" s="88">
        <f t="shared" ref="R39" si="27">Q39-D39</f>
        <v>0</v>
      </c>
    </row>
    <row r="40" spans="1:30" x14ac:dyDescent="0.2">
      <c r="A40" s="147" t="s">
        <v>58</v>
      </c>
      <c r="B40" s="47" t="s">
        <v>59</v>
      </c>
      <c r="C40" s="30"/>
      <c r="D40" s="157">
        <v>0</v>
      </c>
      <c r="E40" s="209">
        <f t="shared" ref="E40" si="28">($D40)/12</f>
        <v>0</v>
      </c>
      <c r="F40" s="209">
        <v>0</v>
      </c>
      <c r="G40" s="209">
        <v>0</v>
      </c>
      <c r="H40" s="221">
        <v>0</v>
      </c>
      <c r="I40" s="221">
        <v>0</v>
      </c>
      <c r="J40" s="221">
        <v>0</v>
      </c>
      <c r="K40" s="89">
        <f>($D40-SUM($E40:J40))/6</f>
        <v>0</v>
      </c>
      <c r="L40" s="89">
        <f>($D40-SUM($E40:K40))/5</f>
        <v>0</v>
      </c>
      <c r="M40" s="89">
        <f>($D40-SUM($E40:L40))/4</f>
        <v>0</v>
      </c>
      <c r="N40" s="89">
        <f>($D40-SUM($E40:M40))/3</f>
        <v>0</v>
      </c>
      <c r="O40" s="92">
        <f>($D40-SUM($E40:N40))/2</f>
        <v>0</v>
      </c>
      <c r="P40" s="92">
        <f>($D40-SUM($E40:O40))/1</f>
        <v>0</v>
      </c>
      <c r="Q40" s="24">
        <f t="shared" si="25"/>
        <v>0</v>
      </c>
      <c r="R40" s="88">
        <f t="shared" si="5"/>
        <v>0</v>
      </c>
    </row>
    <row r="41" spans="1:30" x14ac:dyDescent="0.2">
      <c r="A41" s="147"/>
      <c r="B41" s="47" t="s">
        <v>60</v>
      </c>
      <c r="C41" s="30"/>
      <c r="D41" s="157"/>
      <c r="E41" s="212">
        <v>0</v>
      </c>
      <c r="F41" s="219">
        <v>0</v>
      </c>
      <c r="G41" s="221">
        <v>0</v>
      </c>
      <c r="H41" s="221">
        <v>0</v>
      </c>
      <c r="I41" s="211">
        <v>0</v>
      </c>
      <c r="J41" s="211">
        <v>0</v>
      </c>
      <c r="K41" s="90"/>
      <c r="L41" s="90"/>
      <c r="M41" s="90"/>
      <c r="N41" s="90"/>
      <c r="O41" s="90"/>
      <c r="P41" s="90"/>
      <c r="Q41" s="24">
        <f t="shared" si="25"/>
        <v>0</v>
      </c>
      <c r="R41" s="88">
        <f t="shared" si="5"/>
        <v>0</v>
      </c>
    </row>
    <row r="42" spans="1:30" ht="13.5" thickBot="1" x14ac:dyDescent="0.25">
      <c r="A42" s="149" t="s">
        <v>88</v>
      </c>
      <c r="B42" s="57" t="s">
        <v>89</v>
      </c>
      <c r="C42" s="30">
        <v>3000</v>
      </c>
      <c r="D42" s="157">
        <v>3000</v>
      </c>
      <c r="E42" s="213">
        <v>0</v>
      </c>
      <c r="F42" s="220">
        <v>0</v>
      </c>
      <c r="G42" s="221">
        <v>0</v>
      </c>
      <c r="H42" s="221">
        <v>0</v>
      </c>
      <c r="I42" s="211">
        <v>0</v>
      </c>
      <c r="J42" s="211">
        <v>0</v>
      </c>
      <c r="K42" s="90"/>
      <c r="L42" s="90"/>
      <c r="M42" s="90"/>
      <c r="N42" s="90"/>
      <c r="O42" s="90"/>
      <c r="P42" s="90">
        <f>D42</f>
        <v>3000</v>
      </c>
      <c r="Q42" s="24">
        <f t="shared" si="25"/>
        <v>3000</v>
      </c>
      <c r="R42" s="88">
        <f t="shared" si="5"/>
        <v>0</v>
      </c>
    </row>
    <row r="43" spans="1:30" ht="13.5" thickBot="1" x14ac:dyDescent="0.25">
      <c r="A43" s="184" t="s">
        <v>0</v>
      </c>
      <c r="B43" s="185" t="s">
        <v>75</v>
      </c>
      <c r="C43" s="186">
        <f>SUM(C34:C42)</f>
        <v>2544227</v>
      </c>
      <c r="D43" s="187">
        <f>SUM(D34:D42)</f>
        <v>2578760.1233333335</v>
      </c>
      <c r="E43" s="214">
        <f t="shared" ref="E43:P43" si="29">SUM(E37:E42)+E34</f>
        <v>228164.88</v>
      </c>
      <c r="F43" s="214">
        <f t="shared" si="29"/>
        <v>209050.36999999994</v>
      </c>
      <c r="G43" s="214">
        <f t="shared" si="29"/>
        <v>154350.55000000002</v>
      </c>
      <c r="H43" s="214">
        <f t="shared" si="29"/>
        <v>231483.14999999997</v>
      </c>
      <c r="I43" s="214">
        <f t="shared" si="29"/>
        <v>218673.45</v>
      </c>
      <c r="J43" s="214">
        <f t="shared" si="29"/>
        <v>206865.94</v>
      </c>
      <c r="K43" s="132">
        <f t="shared" si="29"/>
        <v>229260.02675555556</v>
      </c>
      <c r="L43" s="132">
        <f t="shared" si="29"/>
        <v>229260.02675555556</v>
      </c>
      <c r="M43" s="132">
        <f t="shared" si="29"/>
        <v>131360.87955555553</v>
      </c>
      <c r="N43" s="132">
        <f t="shared" si="29"/>
        <v>155835.66635555553</v>
      </c>
      <c r="O43" s="132">
        <f t="shared" si="29"/>
        <v>314921.78055555566</v>
      </c>
      <c r="P43" s="132">
        <f t="shared" si="29"/>
        <v>269533.40335555538</v>
      </c>
      <c r="Q43" s="24">
        <f t="shared" si="25"/>
        <v>2578760.1233333331</v>
      </c>
      <c r="R43" s="88">
        <f t="shared" si="5"/>
        <v>0</v>
      </c>
    </row>
    <row r="44" spans="1:30" s="120" customFormat="1" ht="18.75" x14ac:dyDescent="0.3">
      <c r="A44" s="196" t="s">
        <v>104</v>
      </c>
      <c r="B44" s="197"/>
      <c r="C44" s="198"/>
      <c r="D44" s="199"/>
      <c r="E44" s="200">
        <v>228164.88</v>
      </c>
      <c r="F44" s="200">
        <v>209050.37</v>
      </c>
      <c r="G44" s="200">
        <v>154350.54999999999</v>
      </c>
      <c r="H44" s="200">
        <v>231483.15</v>
      </c>
      <c r="I44" s="200">
        <v>218673.45</v>
      </c>
      <c r="J44" s="200">
        <v>206865.94</v>
      </c>
      <c r="K44" s="200"/>
      <c r="L44" s="200"/>
      <c r="M44" s="201"/>
      <c r="N44" s="201"/>
      <c r="O44" s="201"/>
      <c r="P44" s="202"/>
      <c r="Q44" s="118"/>
      <c r="R44" s="119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</row>
    <row r="45" spans="1:30" s="121" customFormat="1" ht="19.5" thickBot="1" x14ac:dyDescent="0.35">
      <c r="B45" s="124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2"/>
      <c r="R45" s="123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</row>
    <row r="46" spans="1:30" x14ac:dyDescent="0.2">
      <c r="A46" s="150" t="s">
        <v>18</v>
      </c>
      <c r="B46" s="151"/>
      <c r="C46" s="152" t="s">
        <v>6</v>
      </c>
      <c r="D46" s="153" t="s">
        <v>34</v>
      </c>
      <c r="E46" s="133" t="s">
        <v>7</v>
      </c>
      <c r="F46" s="133" t="s">
        <v>8</v>
      </c>
      <c r="G46" s="133" t="s">
        <v>9</v>
      </c>
      <c r="H46" s="133" t="s">
        <v>10</v>
      </c>
      <c r="I46" s="133" t="s">
        <v>2</v>
      </c>
      <c r="J46" s="133" t="s">
        <v>3</v>
      </c>
      <c r="K46" s="133" t="s">
        <v>4</v>
      </c>
      <c r="L46" s="133" t="s">
        <v>5</v>
      </c>
      <c r="M46" s="134" t="s">
        <v>12</v>
      </c>
      <c r="N46" s="134" t="s">
        <v>13</v>
      </c>
      <c r="O46" s="134" t="s">
        <v>14</v>
      </c>
      <c r="P46" s="135" t="s">
        <v>15</v>
      </c>
      <c r="R46" s="88"/>
    </row>
    <row r="47" spans="1:30" x14ac:dyDescent="0.2">
      <c r="A47" s="41"/>
      <c r="B47" s="34"/>
      <c r="C47" s="29"/>
      <c r="D47" s="154"/>
      <c r="E47" s="208" t="s">
        <v>119</v>
      </c>
      <c r="F47" s="208" t="s">
        <v>119</v>
      </c>
      <c r="G47" s="208" t="s">
        <v>119</v>
      </c>
      <c r="H47" s="208" t="s">
        <v>119</v>
      </c>
      <c r="I47" s="208" t="s">
        <v>119</v>
      </c>
      <c r="J47" s="208" t="s">
        <v>119</v>
      </c>
      <c r="K47" s="16" t="s">
        <v>108</v>
      </c>
      <c r="L47" s="16" t="s">
        <v>108</v>
      </c>
      <c r="M47" s="16" t="s">
        <v>108</v>
      </c>
      <c r="N47" s="16" t="s">
        <v>108</v>
      </c>
      <c r="O47" s="16" t="s">
        <v>108</v>
      </c>
      <c r="P47" s="16" t="s">
        <v>108</v>
      </c>
      <c r="R47" s="88"/>
    </row>
    <row r="48" spans="1:30" x14ac:dyDescent="0.2">
      <c r="A48" s="155" t="s">
        <v>61</v>
      </c>
      <c r="B48" s="75" t="s">
        <v>62</v>
      </c>
      <c r="C48" s="82">
        <v>871962</v>
      </c>
      <c r="D48" s="156">
        <f>AVERAGE(E48:J48)*12</f>
        <v>820018.04</v>
      </c>
      <c r="E48" s="215">
        <v>67792.479999999996</v>
      </c>
      <c r="F48" s="211">
        <v>72161.39</v>
      </c>
      <c r="G48" s="211">
        <v>68249.41</v>
      </c>
      <c r="H48" s="211">
        <v>67169.990000000005</v>
      </c>
      <c r="I48" s="211">
        <v>66263.66</v>
      </c>
      <c r="J48" s="211">
        <v>68372.09</v>
      </c>
      <c r="K48" s="90">
        <f>($D48-SUM($E48:J48))/6</f>
        <v>68334.83666666667</v>
      </c>
      <c r="L48" s="90">
        <f>($D48-SUM($E48:K48))/5</f>
        <v>68334.83666666667</v>
      </c>
      <c r="M48" s="90">
        <f>($D48-SUM($E48:L48))/4</f>
        <v>68334.83666666667</v>
      </c>
      <c r="N48" s="90">
        <f>($D48-SUM($E48:M48))/3</f>
        <v>68334.83666666667</v>
      </c>
      <c r="O48" s="90">
        <f>($D48-SUM($E48:N48))/2</f>
        <v>68334.83666666667</v>
      </c>
      <c r="P48" s="91">
        <f>($D48-SUM($E48:O48))</f>
        <v>68334.83666666667</v>
      </c>
      <c r="Q48" s="24">
        <f t="shared" ref="Q48:Q57" si="30">SUM(E48:P48)</f>
        <v>820018.04</v>
      </c>
      <c r="R48" s="88">
        <f t="shared" si="5"/>
        <v>0</v>
      </c>
    </row>
    <row r="49" spans="1:30" x14ac:dyDescent="0.2">
      <c r="A49" s="155" t="s">
        <v>63</v>
      </c>
      <c r="B49" s="75" t="s">
        <v>64</v>
      </c>
      <c r="C49" s="83">
        <v>603820</v>
      </c>
      <c r="D49" s="156">
        <f t="shared" ref="D49:D50" si="31">AVERAGE(E49:J49)*12</f>
        <v>560905.24</v>
      </c>
      <c r="E49" s="215">
        <v>51546.47</v>
      </c>
      <c r="F49" s="211">
        <v>46048.57</v>
      </c>
      <c r="G49" s="211">
        <v>47010.49</v>
      </c>
      <c r="H49" s="211">
        <v>44991.23</v>
      </c>
      <c r="I49" s="211">
        <v>44570.39</v>
      </c>
      <c r="J49" s="211">
        <v>46285.47</v>
      </c>
      <c r="K49" s="90">
        <f>($D49-SUM($E49:J49))/6</f>
        <v>46742.103333333333</v>
      </c>
      <c r="L49" s="90">
        <f>($D49-SUM($E49:K49))/5</f>
        <v>46742.103333333333</v>
      </c>
      <c r="M49" s="90">
        <f>($D49-SUM($E49:L49))/4</f>
        <v>46742.103333333333</v>
      </c>
      <c r="N49" s="90">
        <f>($D49-SUM($E49:M49))/3</f>
        <v>46742.103333333333</v>
      </c>
      <c r="O49" s="90">
        <f>($D49-SUM($E49:N49))/2</f>
        <v>46742.103333333333</v>
      </c>
      <c r="P49" s="91">
        <f>($D49-SUM($E49:O49))</f>
        <v>46742.103333333333</v>
      </c>
      <c r="Q49" s="24">
        <f t="shared" si="30"/>
        <v>560905.24</v>
      </c>
      <c r="R49" s="88">
        <f t="shared" si="5"/>
        <v>0</v>
      </c>
    </row>
    <row r="50" spans="1:30" x14ac:dyDescent="0.2">
      <c r="A50" s="155" t="s">
        <v>65</v>
      </c>
      <c r="B50" s="75" t="s">
        <v>66</v>
      </c>
      <c r="C50" s="82">
        <v>608752</v>
      </c>
      <c r="D50" s="156">
        <f t="shared" si="31"/>
        <v>451090.88</v>
      </c>
      <c r="E50" s="215">
        <v>23492.49</v>
      </c>
      <c r="F50" s="211">
        <v>41398.07</v>
      </c>
      <c r="G50" s="211">
        <v>40421.97</v>
      </c>
      <c r="H50" s="211">
        <v>40052.69</v>
      </c>
      <c r="I50" s="211">
        <v>39866.26</v>
      </c>
      <c r="J50" s="211">
        <v>40313.96</v>
      </c>
      <c r="K50" s="90">
        <f>($D50-SUM($E50:J50))/6</f>
        <v>37590.906666666669</v>
      </c>
      <c r="L50" s="90">
        <f>($D50-SUM($E50:K50))/5</f>
        <v>37590.906666666662</v>
      </c>
      <c r="M50" s="90">
        <f>($D50-SUM($E50:L50))/4</f>
        <v>37590.906666666662</v>
      </c>
      <c r="N50" s="90">
        <f>($D50-SUM($E50:M50))/3</f>
        <v>37590.906666666655</v>
      </c>
      <c r="O50" s="90">
        <f>($D50-SUM($E50:N50))/2</f>
        <v>37590.906666666648</v>
      </c>
      <c r="P50" s="91">
        <f>($D50-SUM($E50:O50))</f>
        <v>37590.906666666619</v>
      </c>
      <c r="Q50" s="24">
        <f t="shared" si="30"/>
        <v>451090.88</v>
      </c>
      <c r="R50" s="88">
        <f t="shared" si="5"/>
        <v>0</v>
      </c>
    </row>
    <row r="51" spans="1:30" x14ac:dyDescent="0.2">
      <c r="A51" s="155" t="s">
        <v>67</v>
      </c>
      <c r="B51" s="75" t="s">
        <v>68</v>
      </c>
      <c r="C51" s="83">
        <v>674053</v>
      </c>
      <c r="D51" s="156">
        <v>575000</v>
      </c>
      <c r="E51" s="215">
        <f>39171.76+82002.76+928.46</f>
        <v>122102.98</v>
      </c>
      <c r="F51" s="211">
        <f>9228.04+37163.63</f>
        <v>46391.67</v>
      </c>
      <c r="G51" s="211">
        <f>22516.7+23685.34+928.41</f>
        <v>47130.450000000004</v>
      </c>
      <c r="H51" s="211">
        <f>6681.85+23865.9+731.06</f>
        <v>31278.81</v>
      </c>
      <c r="I51" s="211">
        <v>23424.98</v>
      </c>
      <c r="J51" s="211">
        <f>13473.21+35433.88</f>
        <v>48907.09</v>
      </c>
      <c r="K51" s="90">
        <f>($D51-SUM($E51:J51))/6</f>
        <v>42627.33666666667</v>
      </c>
      <c r="L51" s="90">
        <f>($D51-SUM($E51:K51))/5</f>
        <v>42627.33666666667</v>
      </c>
      <c r="M51" s="90">
        <f>($D51-SUM($E51:L51))/4</f>
        <v>42627.33666666667</v>
      </c>
      <c r="N51" s="90">
        <f>($D51-SUM($E51:M51))/3</f>
        <v>42627.33666666667</v>
      </c>
      <c r="O51" s="90">
        <f>($D51-SUM($E51:N51))/2</f>
        <v>42627.33666666667</v>
      </c>
      <c r="P51" s="91">
        <f>($D51-SUM($E51:O51))</f>
        <v>42627.33666666667</v>
      </c>
      <c r="Q51" s="24">
        <f>SUM(E51:P51)</f>
        <v>575000</v>
      </c>
      <c r="R51" s="88">
        <f t="shared" si="5"/>
        <v>0</v>
      </c>
    </row>
    <row r="52" spans="1:30" ht="20.25" customHeight="1" x14ac:dyDescent="0.2">
      <c r="A52" s="158" t="s">
        <v>77</v>
      </c>
      <c r="B52" s="57" t="s">
        <v>125</v>
      </c>
      <c r="C52" s="31">
        <v>0</v>
      </c>
      <c r="D52" s="159">
        <v>35000</v>
      </c>
      <c r="E52" s="215"/>
      <c r="F52" s="211"/>
      <c r="G52" s="211"/>
      <c r="H52" s="211"/>
      <c r="I52" s="211"/>
      <c r="J52" s="211"/>
      <c r="K52" s="90"/>
      <c r="L52" s="90"/>
      <c r="M52" s="90"/>
      <c r="N52" s="90">
        <v>25000</v>
      </c>
      <c r="O52" s="90">
        <v>10000</v>
      </c>
      <c r="P52" s="91"/>
      <c r="Q52" s="24">
        <f t="shared" si="30"/>
        <v>35000</v>
      </c>
      <c r="R52" s="88">
        <f t="shared" si="5"/>
        <v>0</v>
      </c>
    </row>
    <row r="53" spans="1:30" ht="14.25" customHeight="1" x14ac:dyDescent="0.2">
      <c r="A53" s="158" t="s">
        <v>77</v>
      </c>
      <c r="B53" s="57" t="s">
        <v>90</v>
      </c>
      <c r="C53" s="31">
        <v>0</v>
      </c>
      <c r="D53" s="157">
        <v>0</v>
      </c>
      <c r="E53" s="215"/>
      <c r="F53" s="211"/>
      <c r="G53" s="211"/>
      <c r="H53" s="211"/>
      <c r="I53" s="211"/>
      <c r="J53" s="211"/>
      <c r="K53" s="90"/>
      <c r="L53" s="90"/>
      <c r="M53" s="90"/>
      <c r="N53" s="90"/>
      <c r="O53" s="90"/>
      <c r="P53" s="91"/>
      <c r="Q53" s="24">
        <f t="shared" si="30"/>
        <v>0</v>
      </c>
      <c r="R53" s="88">
        <f t="shared" si="5"/>
        <v>0</v>
      </c>
    </row>
    <row r="54" spans="1:30" ht="15" customHeight="1" x14ac:dyDescent="0.2">
      <c r="A54" s="158" t="s">
        <v>77</v>
      </c>
      <c r="B54" s="57" t="s">
        <v>90</v>
      </c>
      <c r="C54" s="31">
        <v>0</v>
      </c>
      <c r="D54" s="157">
        <v>0</v>
      </c>
      <c r="E54" s="215"/>
      <c r="F54" s="211"/>
      <c r="G54" s="211"/>
      <c r="H54" s="211"/>
      <c r="I54" s="211"/>
      <c r="J54" s="211"/>
      <c r="K54" s="90"/>
      <c r="L54" s="90"/>
      <c r="M54" s="90"/>
      <c r="N54" s="90"/>
      <c r="O54" s="90"/>
      <c r="P54" s="91"/>
      <c r="Q54" s="24">
        <f t="shared" si="30"/>
        <v>0</v>
      </c>
      <c r="R54" s="88">
        <f t="shared" si="5"/>
        <v>0</v>
      </c>
    </row>
    <row r="55" spans="1:30" x14ac:dyDescent="0.2">
      <c r="A55" s="158" t="s">
        <v>86</v>
      </c>
      <c r="B55" s="57" t="s">
        <v>89</v>
      </c>
      <c r="C55" s="31">
        <v>3000</v>
      </c>
      <c r="D55" s="157">
        <v>3000</v>
      </c>
      <c r="E55" s="215"/>
      <c r="F55" s="211"/>
      <c r="G55" s="211"/>
      <c r="H55" s="211"/>
      <c r="I55" s="211"/>
      <c r="J55" s="211"/>
      <c r="K55" s="90"/>
      <c r="L55" s="90"/>
      <c r="M55" s="90"/>
      <c r="N55" s="90"/>
      <c r="O55" s="90"/>
      <c r="P55" s="91">
        <f>($D55-SUM($E55:O55))</f>
        <v>3000</v>
      </c>
      <c r="Q55" s="24">
        <f t="shared" si="30"/>
        <v>3000</v>
      </c>
      <c r="R55" s="88">
        <f t="shared" si="5"/>
        <v>0</v>
      </c>
    </row>
    <row r="56" spans="1:30" ht="13.5" thickBot="1" x14ac:dyDescent="0.25">
      <c r="A56" s="180" t="s">
        <v>69</v>
      </c>
      <c r="B56" s="181" t="s">
        <v>70</v>
      </c>
      <c r="C56" s="182"/>
      <c r="D56" s="183">
        <v>0</v>
      </c>
      <c r="E56" s="215">
        <f t="shared" ref="E56" si="32">$D56/12</f>
        <v>0</v>
      </c>
      <c r="F56" s="211">
        <f>($D56-SUM(E56:$E56))/11</f>
        <v>0</v>
      </c>
      <c r="G56" s="211">
        <f>($D56-SUM($E56:F56))/10</f>
        <v>0</v>
      </c>
      <c r="H56" s="211">
        <f>($D56-SUM($E56:G56))/9</f>
        <v>0</v>
      </c>
      <c r="I56" s="211">
        <f>($D56-SUM($E56:H56))/8</f>
        <v>0</v>
      </c>
      <c r="J56" s="211">
        <f>($D56-SUM($E56:I56))/7</f>
        <v>0</v>
      </c>
      <c r="K56" s="90">
        <f>($D56-SUM($E56:J56))/6</f>
        <v>0</v>
      </c>
      <c r="L56" s="90">
        <f>($D56-SUM($E56:K56))/5</f>
        <v>0</v>
      </c>
      <c r="M56" s="90">
        <f>($D56-SUM($E56:L56))/4</f>
        <v>0</v>
      </c>
      <c r="N56" s="90">
        <f>($D56-SUM($E56:M56))/3</f>
        <v>0</v>
      </c>
      <c r="O56" s="90">
        <f>($D56-SUM($E56:N56))/2</f>
        <v>0</v>
      </c>
      <c r="P56" s="91">
        <f>($D56-SUM($E56:O56))</f>
        <v>0</v>
      </c>
      <c r="Q56" s="24">
        <f t="shared" si="30"/>
        <v>0</v>
      </c>
      <c r="R56" s="88">
        <f t="shared" si="5"/>
        <v>0</v>
      </c>
    </row>
    <row r="57" spans="1:30" ht="13.5" thickBot="1" x14ac:dyDescent="0.25">
      <c r="A57" s="176" t="s">
        <v>71</v>
      </c>
      <c r="B57" s="177" t="s">
        <v>75</v>
      </c>
      <c r="C57" s="178">
        <f t="shared" ref="C57:P57" si="33">SUM(C48:C56)</f>
        <v>2761587</v>
      </c>
      <c r="D57" s="179">
        <f t="shared" si="33"/>
        <v>2445014.16</v>
      </c>
      <c r="E57" s="214">
        <f t="shared" si="33"/>
        <v>264934.42</v>
      </c>
      <c r="F57" s="223">
        <f t="shared" si="33"/>
        <v>205999.7</v>
      </c>
      <c r="G57" s="223">
        <f t="shared" si="33"/>
        <v>202812.32</v>
      </c>
      <c r="H57" s="223">
        <f t="shared" si="33"/>
        <v>183492.72</v>
      </c>
      <c r="I57" s="223">
        <f t="shared" si="33"/>
        <v>174125.29</v>
      </c>
      <c r="J57" s="223">
        <f t="shared" si="33"/>
        <v>203878.61</v>
      </c>
      <c r="K57" s="127">
        <f t="shared" si="33"/>
        <v>195295.18333333335</v>
      </c>
      <c r="L57" s="127">
        <f t="shared" si="33"/>
        <v>195295.18333333335</v>
      </c>
      <c r="M57" s="127">
        <f t="shared" si="33"/>
        <v>195295.18333333335</v>
      </c>
      <c r="N57" s="127">
        <f t="shared" si="33"/>
        <v>220295.18333333332</v>
      </c>
      <c r="O57" s="127">
        <f t="shared" si="33"/>
        <v>205295.18333333332</v>
      </c>
      <c r="P57" s="127">
        <f t="shared" si="33"/>
        <v>198295.18333333329</v>
      </c>
      <c r="Q57" s="24">
        <f t="shared" si="30"/>
        <v>2445014.1599999997</v>
      </c>
      <c r="R57" s="88">
        <f t="shared" si="5"/>
        <v>0</v>
      </c>
    </row>
    <row r="58" spans="1:30" s="120" customFormat="1" ht="18.75" x14ac:dyDescent="0.3">
      <c r="A58" s="196" t="s">
        <v>104</v>
      </c>
      <c r="B58" s="197"/>
      <c r="C58" s="198"/>
      <c r="D58" s="199"/>
      <c r="E58" s="200">
        <v>264934.42</v>
      </c>
      <c r="F58" s="200">
        <v>205999.7</v>
      </c>
      <c r="G58" s="200">
        <v>202812.32</v>
      </c>
      <c r="H58" s="200">
        <v>183492.72</v>
      </c>
      <c r="I58" s="200">
        <v>174125.29</v>
      </c>
      <c r="J58" s="200">
        <v>203878.61</v>
      </c>
      <c r="K58" s="200"/>
      <c r="L58" s="200"/>
      <c r="M58" s="201"/>
      <c r="N58" s="201"/>
      <c r="O58" s="201"/>
      <c r="P58" s="202"/>
      <c r="Q58" s="118"/>
      <c r="R58" s="119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</row>
    <row r="59" spans="1:30" ht="13.5" thickBot="1" x14ac:dyDescent="0.25">
      <c r="A59" s="34"/>
      <c r="B59" s="34"/>
      <c r="C59" s="27"/>
      <c r="D59" s="5"/>
      <c r="E59" s="5"/>
      <c r="F59" s="5"/>
      <c r="G59" s="6"/>
      <c r="H59" s="6"/>
      <c r="I59" s="7"/>
      <c r="J59" s="5"/>
      <c r="K59" s="6"/>
      <c r="L59" s="6"/>
      <c r="M59" s="4"/>
      <c r="N59" s="4"/>
      <c r="O59" s="4"/>
      <c r="P59" s="4"/>
    </row>
    <row r="60" spans="1:30" ht="25.5" x14ac:dyDescent="0.2">
      <c r="A60" s="141" t="s">
        <v>42</v>
      </c>
      <c r="B60" s="142"/>
      <c r="C60" s="143">
        <v>451000</v>
      </c>
      <c r="D60" s="144">
        <v>560143</v>
      </c>
      <c r="E60" s="136">
        <f>+D60</f>
        <v>560143</v>
      </c>
      <c r="F60" s="104">
        <f t="shared" ref="F60:P60" si="34">+E65</f>
        <v>523373.46</v>
      </c>
      <c r="G60" s="104">
        <f t="shared" si="34"/>
        <v>526424.12999999989</v>
      </c>
      <c r="H60" s="104">
        <f t="shared" si="34"/>
        <v>477962.35999999993</v>
      </c>
      <c r="I60" s="104">
        <f t="shared" si="34"/>
        <v>525952.78999999992</v>
      </c>
      <c r="J60" s="104">
        <f t="shared" si="34"/>
        <v>570500.94999999995</v>
      </c>
      <c r="K60" s="104">
        <f t="shared" si="34"/>
        <v>573488.27999999991</v>
      </c>
      <c r="L60" s="104">
        <f t="shared" si="34"/>
        <v>607453.1234222221</v>
      </c>
      <c r="M60" s="105">
        <f t="shared" si="34"/>
        <v>641417.96684444428</v>
      </c>
      <c r="N60" s="105">
        <f t="shared" si="34"/>
        <v>577483.66306666646</v>
      </c>
      <c r="O60" s="105">
        <f t="shared" si="34"/>
        <v>513024.14608888864</v>
      </c>
      <c r="P60" s="106">
        <f t="shared" si="34"/>
        <v>622650.74331111088</v>
      </c>
    </row>
    <row r="61" spans="1:30" x14ac:dyDescent="0.2">
      <c r="A61" s="145" t="s">
        <v>36</v>
      </c>
      <c r="B61" s="75"/>
      <c r="C61" s="139">
        <f>+C43</f>
        <v>2544227</v>
      </c>
      <c r="D61" s="146">
        <f>+D43</f>
        <v>2578760.1233333335</v>
      </c>
      <c r="E61" s="137">
        <f>+E43</f>
        <v>228164.88</v>
      </c>
      <c r="F61" s="49">
        <f>+F43</f>
        <v>209050.36999999994</v>
      </c>
      <c r="G61" s="49">
        <f>+G43</f>
        <v>154350.55000000002</v>
      </c>
      <c r="H61" s="49">
        <f>+H43</f>
        <v>231483.14999999997</v>
      </c>
      <c r="I61" s="49">
        <f>+I43</f>
        <v>218673.45</v>
      </c>
      <c r="J61" s="49">
        <f>+J43</f>
        <v>206865.94</v>
      </c>
      <c r="K61" s="49">
        <f>+K43</f>
        <v>229260.02675555556</v>
      </c>
      <c r="L61" s="49">
        <f>+L43</f>
        <v>229260.02675555556</v>
      </c>
      <c r="M61" s="106">
        <f>+M43</f>
        <v>131360.87955555553</v>
      </c>
      <c r="N61" s="106">
        <f>+N43</f>
        <v>155835.66635555553</v>
      </c>
      <c r="O61" s="106">
        <f>+O43</f>
        <v>314921.78055555566</v>
      </c>
      <c r="P61" s="106">
        <f>+P43</f>
        <v>269533.40335555538</v>
      </c>
    </row>
    <row r="62" spans="1:30" x14ac:dyDescent="0.2">
      <c r="A62" s="145" t="s">
        <v>37</v>
      </c>
      <c r="B62" s="75"/>
      <c r="C62" s="139">
        <f>-C57</f>
        <v>-2761587</v>
      </c>
      <c r="D62" s="146">
        <f>-D57</f>
        <v>-2445014.16</v>
      </c>
      <c r="E62" s="137">
        <f>-E57</f>
        <v>-264934.42</v>
      </c>
      <c r="F62" s="49">
        <f>-F57</f>
        <v>-205999.7</v>
      </c>
      <c r="G62" s="49">
        <f>-G57</f>
        <v>-202812.32</v>
      </c>
      <c r="H62" s="49">
        <f>-H57</f>
        <v>-183492.72</v>
      </c>
      <c r="I62" s="49">
        <f>-I57</f>
        <v>-174125.29</v>
      </c>
      <c r="J62" s="49">
        <f>-J57</f>
        <v>-203878.61</v>
      </c>
      <c r="K62" s="49">
        <f>-K57</f>
        <v>-195295.18333333335</v>
      </c>
      <c r="L62" s="49">
        <f>-L57</f>
        <v>-195295.18333333335</v>
      </c>
      <c r="M62" s="106">
        <f>-M57</f>
        <v>-195295.18333333335</v>
      </c>
      <c r="N62" s="106">
        <f>-N57</f>
        <v>-220295.18333333332</v>
      </c>
      <c r="O62" s="106">
        <f>-O57</f>
        <v>-205295.18333333332</v>
      </c>
      <c r="P62" s="106">
        <f>-P57</f>
        <v>-198295.18333333329</v>
      </c>
    </row>
    <row r="63" spans="1:30" x14ac:dyDescent="0.2">
      <c r="A63" s="147" t="s">
        <v>72</v>
      </c>
      <c r="B63" s="140" t="s">
        <v>73</v>
      </c>
      <c r="C63" s="139">
        <f>-C59</f>
        <v>0</v>
      </c>
      <c r="D63" s="148">
        <f>-D59</f>
        <v>0</v>
      </c>
      <c r="E63" s="138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8">
        <v>0</v>
      </c>
      <c r="N63" s="108">
        <v>0</v>
      </c>
      <c r="O63" s="108">
        <v>0</v>
      </c>
      <c r="P63" s="108">
        <v>0</v>
      </c>
    </row>
    <row r="64" spans="1:30" x14ac:dyDescent="0.2">
      <c r="A64" s="149" t="s">
        <v>74</v>
      </c>
      <c r="B64" s="57" t="s">
        <v>60</v>
      </c>
      <c r="C64" s="139">
        <f>+C63</f>
        <v>0</v>
      </c>
      <c r="D64" s="146">
        <f>+D63</f>
        <v>0</v>
      </c>
      <c r="E64" s="137"/>
      <c r="F64" s="104"/>
      <c r="G64" s="104"/>
      <c r="H64" s="109"/>
      <c r="I64" s="109"/>
      <c r="J64" s="109"/>
      <c r="K64" s="109"/>
      <c r="L64" s="109"/>
      <c r="M64" s="110"/>
      <c r="N64" s="110"/>
      <c r="O64" s="110"/>
      <c r="P64" s="110"/>
    </row>
    <row r="65" spans="1:30" ht="26.25" thickBot="1" x14ac:dyDescent="0.25">
      <c r="A65" s="194" t="s">
        <v>93</v>
      </c>
      <c r="B65" s="172" t="s">
        <v>75</v>
      </c>
      <c r="C65" s="173">
        <f>SUM(C60:C64)</f>
        <v>233640</v>
      </c>
      <c r="D65" s="195">
        <f>SUM(D60:D64)</f>
        <v>693888.96333333338</v>
      </c>
      <c r="E65" s="129">
        <f t="shared" ref="E65:P65" si="35">SUM(E60:E64)</f>
        <v>523373.46</v>
      </c>
      <c r="F65" s="129">
        <f t="shared" si="35"/>
        <v>526424.12999999989</v>
      </c>
      <c r="G65" s="129">
        <f t="shared" si="35"/>
        <v>477962.35999999993</v>
      </c>
      <c r="H65" s="129">
        <f t="shared" si="35"/>
        <v>525952.78999999992</v>
      </c>
      <c r="I65" s="128">
        <f t="shared" si="35"/>
        <v>570500.94999999995</v>
      </c>
      <c r="J65" s="128">
        <f t="shared" si="35"/>
        <v>573488.27999999991</v>
      </c>
      <c r="K65" s="128">
        <f t="shared" si="35"/>
        <v>607453.1234222221</v>
      </c>
      <c r="L65" s="128">
        <f t="shared" si="35"/>
        <v>641417.96684444428</v>
      </c>
      <c r="M65" s="130">
        <f t="shared" si="35"/>
        <v>577483.66306666646</v>
      </c>
      <c r="N65" s="130">
        <f t="shared" si="35"/>
        <v>513024.14608888864</v>
      </c>
      <c r="O65" s="130">
        <f t="shared" si="35"/>
        <v>622650.74331111088</v>
      </c>
      <c r="P65" s="131">
        <f t="shared" si="35"/>
        <v>693888.96333333291</v>
      </c>
    </row>
    <row r="66" spans="1:30" s="120" customFormat="1" ht="18.75" x14ac:dyDescent="0.3">
      <c r="A66" s="196" t="s">
        <v>104</v>
      </c>
      <c r="B66" s="197"/>
      <c r="C66" s="198"/>
      <c r="D66" s="199"/>
      <c r="E66" s="200">
        <v>523373.53</v>
      </c>
      <c r="F66" s="200">
        <v>526424.19999999995</v>
      </c>
      <c r="G66" s="200">
        <v>477962.43</v>
      </c>
      <c r="H66" s="200">
        <v>525952.86</v>
      </c>
      <c r="I66" s="200">
        <v>570501.02</v>
      </c>
      <c r="J66" s="200">
        <v>573488.35</v>
      </c>
      <c r="K66" s="200"/>
      <c r="L66" s="200"/>
      <c r="M66" s="201"/>
      <c r="N66" s="201"/>
      <c r="O66" s="201"/>
      <c r="P66" s="202"/>
      <c r="Q66" s="118"/>
      <c r="R66" s="119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x14ac:dyDescent="0.2">
      <c r="A67" s="38"/>
      <c r="B67" s="3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62"/>
      <c r="N67" s="62"/>
      <c r="O67" s="62"/>
      <c r="P67" s="62"/>
    </row>
    <row r="68" spans="1:30" x14ac:dyDescent="0.2">
      <c r="A68" s="42" t="s">
        <v>82</v>
      </c>
      <c r="B68" s="38"/>
      <c r="C68" s="40"/>
      <c r="D68" s="44"/>
      <c r="E68" s="45"/>
      <c r="F68" s="45"/>
      <c r="G68" s="45"/>
      <c r="H68" s="45"/>
      <c r="I68" s="44"/>
      <c r="J68" s="44"/>
      <c r="K68" s="44"/>
      <c r="L68" s="44"/>
      <c r="M68" s="46"/>
      <c r="N68" s="46"/>
      <c r="O68" s="46"/>
      <c r="P68" s="46"/>
    </row>
    <row r="69" spans="1:30" x14ac:dyDescent="0.2">
      <c r="A69" s="47" t="s">
        <v>78</v>
      </c>
      <c r="B69" s="48"/>
      <c r="C69" s="30"/>
      <c r="D69" s="49"/>
      <c r="E69" s="49"/>
      <c r="F69" s="49"/>
      <c r="G69" s="49"/>
      <c r="H69" s="49"/>
      <c r="I69" s="49"/>
      <c r="J69" s="50"/>
      <c r="K69" s="50"/>
      <c r="L69" s="50"/>
      <c r="M69" s="51"/>
      <c r="N69" s="51"/>
      <c r="O69" s="51"/>
      <c r="P69" s="52"/>
    </row>
    <row r="70" spans="1:30" x14ac:dyDescent="0.2">
      <c r="A70" s="51" t="s">
        <v>79</v>
      </c>
      <c r="B70" s="53"/>
      <c r="C70" s="54"/>
      <c r="D70" s="55">
        <v>43847</v>
      </c>
      <c r="E70" s="55">
        <v>43847</v>
      </c>
      <c r="F70" s="55">
        <v>43847</v>
      </c>
      <c r="G70" s="55">
        <v>43847</v>
      </c>
      <c r="H70" s="55">
        <v>43847</v>
      </c>
      <c r="I70" s="55">
        <v>43847</v>
      </c>
      <c r="J70" s="55">
        <v>43847</v>
      </c>
      <c r="K70" s="55">
        <v>43847</v>
      </c>
      <c r="L70" s="55">
        <v>43847</v>
      </c>
      <c r="M70" s="55">
        <v>43847</v>
      </c>
      <c r="N70" s="55">
        <v>43847</v>
      </c>
      <c r="O70" s="55">
        <v>43847</v>
      </c>
      <c r="P70" s="55">
        <v>43847</v>
      </c>
    </row>
    <row r="71" spans="1:30" ht="25.5" x14ac:dyDescent="0.2">
      <c r="A71" s="57" t="s">
        <v>80</v>
      </c>
      <c r="B71" s="60" t="s">
        <v>123</v>
      </c>
      <c r="C71" s="58"/>
      <c r="D71" s="50">
        <v>460265</v>
      </c>
      <c r="E71" s="56">
        <v>460265</v>
      </c>
      <c r="F71" s="56">
        <v>460265</v>
      </c>
      <c r="G71" s="56">
        <v>460265</v>
      </c>
      <c r="H71" s="56">
        <v>460265</v>
      </c>
      <c r="I71" s="56">
        <v>460265</v>
      </c>
      <c r="J71" s="56">
        <v>460265</v>
      </c>
      <c r="K71" s="56">
        <v>460265</v>
      </c>
      <c r="L71" s="56">
        <v>460265</v>
      </c>
      <c r="M71" s="56">
        <v>460265</v>
      </c>
      <c r="N71" s="56">
        <v>460265</v>
      </c>
      <c r="O71" s="56">
        <v>460265</v>
      </c>
      <c r="P71" s="56">
        <v>460265</v>
      </c>
    </row>
    <row r="72" spans="1:30" s="61" customFormat="1" ht="27.75" customHeight="1" x14ac:dyDescent="0.2">
      <c r="A72" s="59" t="s">
        <v>81</v>
      </c>
      <c r="B72" s="60"/>
      <c r="C72" s="63">
        <f>C65-C69-C70-C71</f>
        <v>233640</v>
      </c>
      <c r="D72" s="63">
        <f>D65-D69-D70-D71</f>
        <v>189776.96333333338</v>
      </c>
      <c r="E72" s="63">
        <f>E65-E69-E70-E71</f>
        <v>19261.460000000021</v>
      </c>
      <c r="F72" s="63">
        <f>F65-F69-F70-F71</f>
        <v>22312.129999999888</v>
      </c>
      <c r="G72" s="63">
        <f>G65-G69-G70-G71</f>
        <v>-26149.640000000072</v>
      </c>
      <c r="H72" s="63">
        <f>H65-H69-H70-H71</f>
        <v>21840.789999999921</v>
      </c>
      <c r="I72" s="63">
        <f>I65-I69-I70-I71</f>
        <v>66388.949999999953</v>
      </c>
      <c r="J72" s="63">
        <f>J65-J69-J70-J71</f>
        <v>69376.279999999912</v>
      </c>
      <c r="K72" s="63">
        <f>K65-K69-K70-K71</f>
        <v>103341.1234222221</v>
      </c>
      <c r="L72" s="63">
        <f>L65-L69-L70-L71</f>
        <v>137305.96684444428</v>
      </c>
      <c r="M72" s="63">
        <f>M65-M69-M70-M71</f>
        <v>73371.663066666457</v>
      </c>
      <c r="N72" s="63">
        <f>N65-N69-N70-N71</f>
        <v>8912.1460888886359</v>
      </c>
      <c r="O72" s="63">
        <f>O65-O69-O70-O71</f>
        <v>118538.74331111088</v>
      </c>
      <c r="P72" s="63">
        <f>P65-P69-P70-P71</f>
        <v>189776.96333333291</v>
      </c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</row>
    <row r="73" spans="1:30" ht="15" customHeight="1" thickBot="1" x14ac:dyDescent="0.25">
      <c r="B73" s="36"/>
      <c r="C73"/>
      <c r="D73"/>
      <c r="E73"/>
      <c r="F73"/>
      <c r="G73"/>
      <c r="J73" s="3"/>
    </row>
    <row r="74" spans="1:30" s="61" customFormat="1" ht="32.25" customHeight="1" thickBot="1" x14ac:dyDescent="0.25">
      <c r="A74" s="190" t="s">
        <v>105</v>
      </c>
      <c r="B74" s="191"/>
      <c r="C74" s="192">
        <f>C65/C57</f>
        <v>8.460352688508456E-2</v>
      </c>
      <c r="D74" s="192">
        <f>D65/$D$57</f>
        <v>0.28379752341938719</v>
      </c>
      <c r="E74" s="192">
        <f>E65/$D$57</f>
        <v>0.21405743515203199</v>
      </c>
      <c r="F74" s="192">
        <f>F65/$D$57</f>
        <v>0.21530514571743825</v>
      </c>
      <c r="G74" s="192">
        <f>G65/$D$57</f>
        <v>0.1954844956807939</v>
      </c>
      <c r="H74" s="192">
        <f>H65/$D$57</f>
        <v>0.21511236973776868</v>
      </c>
      <c r="I74" s="192">
        <f>I65/$D$57</f>
        <v>0.23333237055772305</v>
      </c>
      <c r="J74" s="192">
        <f>J65/$D$57</f>
        <v>0.23455417534268999</v>
      </c>
      <c r="K74" s="192">
        <f>K65/$D$57</f>
        <v>0.2484456463934025</v>
      </c>
      <c r="L74" s="192">
        <f>L65/$D$57</f>
        <v>0.26233711744411503</v>
      </c>
      <c r="M74" s="192">
        <f>M65/$D$57</f>
        <v>0.23618826938272883</v>
      </c>
      <c r="N74" s="192">
        <f>N65/$D$57</f>
        <v>0.20982461144065057</v>
      </c>
      <c r="O74" s="192">
        <f>O65/$D$57</f>
        <v>0.25466140585096275</v>
      </c>
      <c r="P74" s="193">
        <f>P65/$D$57</f>
        <v>0.28379752341938702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</row>
    <row r="75" spans="1:30" ht="12.75" customHeight="1" x14ac:dyDescent="0.2">
      <c r="B75" s="36"/>
      <c r="C75"/>
    </row>
    <row r="76" spans="1:30" x14ac:dyDescent="0.2">
      <c r="B76" s="36"/>
      <c r="C76"/>
    </row>
    <row r="77" spans="1:30" x14ac:dyDescent="0.2">
      <c r="B77" s="36"/>
      <c r="C77"/>
    </row>
  </sheetData>
  <phoneticPr fontId="0" type="noConversion"/>
  <conditionalFormatting sqref="E9:P74">
    <cfRule type="cellIs" dxfId="2" priority="1" operator="lessThan">
      <formula>0</formula>
    </cfRule>
  </conditionalFormatting>
  <conditionalFormatting sqref="Q9:Q24 Q26:Q34 Q37:Q43">
    <cfRule type="cellIs" dxfId="1" priority="4" stopIfTrue="1" operator="notEqual">
      <formula>$D$9</formula>
    </cfRule>
  </conditionalFormatting>
  <conditionalFormatting sqref="Q48:Q57">
    <cfRule type="cellIs" dxfId="0" priority="9" stopIfTrue="1" operator="notEqual">
      <formula>$D$9</formula>
    </cfRule>
  </conditionalFormatting>
  <pageMargins left="0.43" right="0.46" top="0.4" bottom="0.3" header="0.38" footer="0.41"/>
  <pageSetup paperSize="5" scale="41" orientation="landscape" r:id="rId1"/>
  <headerFooter alignWithMargins="0"/>
  <rowBreaks count="2" manualBreakCount="2">
    <brk id="43" max="16383" man="1"/>
    <brk id="7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workbookViewId="0">
      <selection activeCell="J45" sqref="J45"/>
    </sheetView>
  </sheetViews>
  <sheetFormatPr defaultRowHeight="12.75" x14ac:dyDescent="0.2"/>
  <cols>
    <col min="1" max="1" width="33.85546875" customWidth="1"/>
    <col min="2" max="2" width="16.5703125" bestFit="1" customWidth="1"/>
    <col min="3" max="3" width="18.5703125" bestFit="1" customWidth="1"/>
    <col min="4" max="4" width="15.85546875" bestFit="1" customWidth="1"/>
    <col min="5" max="5" width="12.85546875" bestFit="1" customWidth="1"/>
    <col min="6" max="7" width="15.140625" bestFit="1" customWidth="1"/>
    <col min="8" max="15" width="21.85546875" customWidth="1"/>
    <col min="16" max="16" width="11.5703125" bestFit="1" customWidth="1"/>
  </cols>
  <sheetData>
    <row r="1" spans="1:29" x14ac:dyDescent="0.2">
      <c r="A1" s="42" t="str">
        <f>'Fund Balance Projection'!A1</f>
        <v xml:space="preserve"> North River School District</v>
      </c>
    </row>
    <row r="2" spans="1:29" ht="13.5" thickBot="1" x14ac:dyDescent="0.25"/>
    <row r="3" spans="1:29" s="1" customFormat="1" x14ac:dyDescent="0.2">
      <c r="A3" s="33" t="s">
        <v>95</v>
      </c>
      <c r="B3" s="93" t="s">
        <v>17</v>
      </c>
      <c r="C3" s="94" t="s">
        <v>28</v>
      </c>
      <c r="D3" s="25" t="s">
        <v>7</v>
      </c>
      <c r="E3" s="25" t="s">
        <v>8</v>
      </c>
      <c r="F3" s="25" t="s">
        <v>96</v>
      </c>
      <c r="G3" s="25" t="s">
        <v>97</v>
      </c>
      <c r="H3" s="16" t="s">
        <v>98</v>
      </c>
      <c r="I3" s="16" t="s">
        <v>3</v>
      </c>
      <c r="J3" s="16" t="s">
        <v>99</v>
      </c>
      <c r="K3" s="16" t="s">
        <v>100</v>
      </c>
      <c r="L3" s="19" t="s">
        <v>12</v>
      </c>
      <c r="M3" s="19" t="s">
        <v>13</v>
      </c>
      <c r="N3" s="19" t="s">
        <v>101</v>
      </c>
      <c r="O3" s="20" t="s">
        <v>102</v>
      </c>
      <c r="P3" s="23" t="s">
        <v>39</v>
      </c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1" customFormat="1" x14ac:dyDescent="0.2">
      <c r="A4" s="34"/>
      <c r="B4" s="95" t="s">
        <v>6</v>
      </c>
      <c r="C4" s="96" t="s">
        <v>94</v>
      </c>
      <c r="D4" s="16" t="str">
        <f>'Fund Balance Projection'!E7</f>
        <v>Actual</v>
      </c>
      <c r="E4" s="16" t="str">
        <f>'Fund Balance Projection'!F7</f>
        <v>Actual</v>
      </c>
      <c r="F4" s="16" t="str">
        <f>'Fund Balance Projection'!G7</f>
        <v>Actual</v>
      </c>
      <c r="G4" s="16" t="str">
        <f>'Fund Balance Projection'!H7</f>
        <v>Actual</v>
      </c>
      <c r="H4" s="16" t="str">
        <f>'Fund Balance Projection'!I7</f>
        <v>Actual</v>
      </c>
      <c r="I4" s="16" t="str">
        <f>'Fund Balance Projection'!J7</f>
        <v>Actual</v>
      </c>
      <c r="J4" s="16" t="str">
        <f>'Fund Balance Projection'!K7</f>
        <v>Estimate</v>
      </c>
      <c r="K4" s="16" t="str">
        <f>'Fund Balance Projection'!L7</f>
        <v>Estimate</v>
      </c>
      <c r="L4" s="16" t="str">
        <f>'Fund Balance Projection'!M7</f>
        <v>Estimate</v>
      </c>
      <c r="M4" s="16" t="str">
        <f>'Fund Balance Projection'!N7</f>
        <v>Estimate</v>
      </c>
      <c r="N4" s="16" t="str">
        <f>'Fund Balance Projection'!O7</f>
        <v>Estimate</v>
      </c>
      <c r="O4" s="16" t="str">
        <f>'Fund Balance Projection'!P7</f>
        <v>Estimate</v>
      </c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1" customFormat="1" ht="19.5" customHeight="1" x14ac:dyDescent="0.2">
      <c r="A5" s="39" t="s">
        <v>41</v>
      </c>
      <c r="B5" s="97">
        <f>'Fund Balance Projection'!C5</f>
        <v>46</v>
      </c>
      <c r="C5" s="98">
        <f>'Fund Balance Projection'!D5</f>
        <v>53.68</v>
      </c>
      <c r="D5" s="111">
        <f>'Fund Balance Projection'!E5</f>
        <v>48.75</v>
      </c>
      <c r="E5" s="111">
        <f>'Fund Balance Projection'!F5</f>
        <v>56</v>
      </c>
      <c r="F5" s="111">
        <f>'Fund Balance Projection'!G5</f>
        <v>54.879999999999995</v>
      </c>
      <c r="G5" s="111">
        <f>'Fund Balance Projection'!H5</f>
        <v>53</v>
      </c>
      <c r="H5" s="111">
        <f>'Fund Balance Projection'!I5</f>
        <v>53.66</v>
      </c>
      <c r="I5" s="111">
        <f>'Fund Balance Projection'!J5</f>
        <v>52.459999999999994</v>
      </c>
      <c r="J5" s="111">
        <f>'Fund Balance Projection'!K5</f>
        <v>0</v>
      </c>
      <c r="K5" s="111">
        <f>'Fund Balance Projection'!L5</f>
        <v>0</v>
      </c>
      <c r="L5" s="111">
        <f>'Fund Balance Projection'!M5</f>
        <v>0</v>
      </c>
      <c r="M5" s="111">
        <f>'Fund Balance Projection'!N5</f>
        <v>0</v>
      </c>
      <c r="N5" s="111">
        <f>'Fund Balance Projection'!O5</f>
        <v>0</v>
      </c>
      <c r="O5" s="111">
        <f>'Fund Balance Projection'!P5</f>
        <v>0</v>
      </c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1" customFormat="1" ht="19.5" customHeight="1" x14ac:dyDescent="0.2">
      <c r="A6" s="39" t="s">
        <v>0</v>
      </c>
      <c r="B6" s="99">
        <f>'Fund Balance Projection'!C43</f>
        <v>2544227</v>
      </c>
      <c r="C6" s="100">
        <f>'Fund Balance Projection'!D43</f>
        <v>2578760.1233333335</v>
      </c>
      <c r="D6" s="112">
        <f>'Fund Balance Projection'!E43</f>
        <v>228164.88</v>
      </c>
      <c r="E6" s="113">
        <f>'Fund Balance Projection'!F43</f>
        <v>209050.36999999994</v>
      </c>
      <c r="F6" s="113">
        <f>'Fund Balance Projection'!G43</f>
        <v>154350.55000000002</v>
      </c>
      <c r="G6" s="113">
        <f>'Fund Balance Projection'!H43</f>
        <v>231483.14999999997</v>
      </c>
      <c r="H6" s="113">
        <f>'Fund Balance Projection'!I43</f>
        <v>218673.45</v>
      </c>
      <c r="I6" s="113">
        <f>'Fund Balance Projection'!J43</f>
        <v>206865.94</v>
      </c>
      <c r="J6" s="113">
        <f>'Fund Balance Projection'!K43</f>
        <v>229260.02675555556</v>
      </c>
      <c r="K6" s="113">
        <f>'Fund Balance Projection'!L43</f>
        <v>229260.02675555556</v>
      </c>
      <c r="L6" s="113">
        <f>'Fund Balance Projection'!M43</f>
        <v>131360.87955555553</v>
      </c>
      <c r="M6" s="113">
        <f>'Fund Balance Projection'!N43</f>
        <v>155835.66635555553</v>
      </c>
      <c r="N6" s="113">
        <f>'Fund Balance Projection'!O43</f>
        <v>314921.78055555566</v>
      </c>
      <c r="O6" s="113">
        <f>'Fund Balance Projection'!P43</f>
        <v>269533.40335555538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1" customFormat="1" ht="19.5" customHeight="1" x14ac:dyDescent="0.2">
      <c r="A7" s="39" t="s">
        <v>71</v>
      </c>
      <c r="B7" s="99">
        <f>'Fund Balance Projection'!C57</f>
        <v>2761587</v>
      </c>
      <c r="C7" s="100">
        <f>'Fund Balance Projection'!D57</f>
        <v>2445014.16</v>
      </c>
      <c r="D7" s="112">
        <f>'Fund Balance Projection'!E57</f>
        <v>264934.42</v>
      </c>
      <c r="E7" s="113">
        <f>'Fund Balance Projection'!F57</f>
        <v>205999.7</v>
      </c>
      <c r="F7" s="113">
        <f>'Fund Balance Projection'!G57</f>
        <v>202812.32</v>
      </c>
      <c r="G7" s="113">
        <f>'Fund Balance Projection'!H57</f>
        <v>183492.72</v>
      </c>
      <c r="H7" s="113">
        <f>'Fund Balance Projection'!I57</f>
        <v>174125.29</v>
      </c>
      <c r="I7" s="113">
        <f>'Fund Balance Projection'!J57</f>
        <v>203878.61</v>
      </c>
      <c r="J7" s="113">
        <f>'Fund Balance Projection'!K57</f>
        <v>195295.18333333335</v>
      </c>
      <c r="K7" s="113">
        <f>'Fund Balance Projection'!L57</f>
        <v>195295.18333333335</v>
      </c>
      <c r="L7" s="113">
        <f>'Fund Balance Projection'!M57</f>
        <v>195295.18333333335</v>
      </c>
      <c r="M7" s="113">
        <f>'Fund Balance Projection'!N57</f>
        <v>220295.18333333332</v>
      </c>
      <c r="N7" s="113">
        <f>'Fund Balance Projection'!O57</f>
        <v>205295.18333333332</v>
      </c>
      <c r="O7" s="113">
        <f>'Fund Balance Projection'!P57</f>
        <v>198295.18333333329</v>
      </c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1" customFormat="1" ht="19.5" customHeight="1" x14ac:dyDescent="0.2">
      <c r="A8" s="39" t="s">
        <v>42</v>
      </c>
      <c r="B8" s="115">
        <f>'Fund Balance Projection'!C60</f>
        <v>451000</v>
      </c>
      <c r="C8" s="116">
        <f>'Fund Balance Projection'!D60</f>
        <v>560143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1" customFormat="1" ht="19.5" customHeight="1" thickBot="1" x14ac:dyDescent="0.25">
      <c r="A9" s="39" t="s">
        <v>93</v>
      </c>
      <c r="B9" s="101">
        <f>'Fund Balance Projection'!C65</f>
        <v>233640</v>
      </c>
      <c r="C9" s="102">
        <f>'Fund Balance Projection'!D65</f>
        <v>693888.96333333338</v>
      </c>
      <c r="D9" s="114">
        <f>'Fund Balance Projection'!E65</f>
        <v>523373.46</v>
      </c>
      <c r="E9" s="114">
        <f>'Fund Balance Projection'!F65</f>
        <v>526424.12999999989</v>
      </c>
      <c r="F9" s="114">
        <f>'Fund Balance Projection'!G65</f>
        <v>477962.35999999993</v>
      </c>
      <c r="G9" s="114">
        <f>'Fund Balance Projection'!H65</f>
        <v>525952.78999999992</v>
      </c>
      <c r="H9" s="114">
        <f>'Fund Balance Projection'!I65</f>
        <v>570500.94999999995</v>
      </c>
      <c r="I9" s="114">
        <f>'Fund Balance Projection'!J65</f>
        <v>573488.27999999991</v>
      </c>
      <c r="J9" s="114">
        <f>'Fund Balance Projection'!K65</f>
        <v>607453.1234222221</v>
      </c>
      <c r="K9" s="114">
        <f>'Fund Balance Projection'!L65</f>
        <v>641417.96684444428</v>
      </c>
      <c r="L9" s="114">
        <f>'Fund Balance Projection'!M65</f>
        <v>577483.66306666646</v>
      </c>
      <c r="M9" s="114">
        <f>'Fund Balance Projection'!N65</f>
        <v>513024.14608888864</v>
      </c>
      <c r="N9" s="114">
        <f>'Fund Balance Projection'!O65</f>
        <v>622650.74331111088</v>
      </c>
      <c r="O9" s="114">
        <f>'Fund Balance Projection'!P65</f>
        <v>693888.96333333291</v>
      </c>
      <c r="P9"/>
      <c r="Q9"/>
      <c r="R9"/>
      <c r="S9"/>
      <c r="T9"/>
      <c r="U9"/>
      <c r="V9"/>
      <c r="W9"/>
      <c r="X9"/>
      <c r="Y9"/>
      <c r="Z9"/>
      <c r="AA9"/>
      <c r="AB9"/>
      <c r="AC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Balance Projection</vt:lpstr>
      <vt:lpstr>Summary</vt:lpstr>
      <vt:lpstr>'Fund Balance Projection'!Print_Area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April Kaech</cp:lastModifiedBy>
  <cp:lastPrinted>2010-02-05T00:40:01Z</cp:lastPrinted>
  <dcterms:created xsi:type="dcterms:W3CDTF">1998-01-11T12:15:28Z</dcterms:created>
  <dcterms:modified xsi:type="dcterms:W3CDTF">2025-03-05T18:19:44Z</dcterms:modified>
</cp:coreProperties>
</file>