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C:\Users\cdoll\Downloads\"/>
    </mc:Choice>
  </mc:AlternateContent>
  <xr:revisionPtr revIDLastSave="0" documentId="13_ncr:1_{E6F255D4-3F95-42EE-AE9C-5A4D43E843A2}" xr6:coauthVersionLast="36" xr6:coauthVersionMax="47" xr10:uidLastSave="{00000000-0000-0000-0000-000000000000}"/>
  <bookViews>
    <workbookView xWindow="0" yWindow="0" windowWidth="28800" windowHeight="12225" tabRatio="424" xr2:uid="{00000000-000D-0000-FFFF-FFFF00000000}"/>
  </bookViews>
  <sheets>
    <sheet name="Fund Balance Projection" sheetId="1" r:id="rId1"/>
    <sheet name="Summary" sheetId="2" r:id="rId2"/>
    <sheet name="Assumptions" sheetId="3" r:id="rId3"/>
  </sheets>
  <definedNames>
    <definedName name="_xlnm.Print_Area" localSheetId="0">'Fund Balance Projection'!$A$1:$P$66</definedName>
  </definedNames>
  <calcPr calcId="191029"/>
</workbook>
</file>

<file path=xl/calcChain.xml><?xml version="1.0" encoding="utf-8"?>
<calcChain xmlns="http://schemas.openxmlformats.org/spreadsheetml/2006/main">
  <c r="E40" i="1" l="1"/>
  <c r="E52" i="1"/>
  <c r="E57" i="1"/>
  <c r="F49" i="1"/>
  <c r="G49" i="1"/>
  <c r="F50" i="1"/>
  <c r="H50" i="1" s="1"/>
  <c r="G50" i="1"/>
  <c r="F51" i="1"/>
  <c r="G51" i="1"/>
  <c r="F52" i="1"/>
  <c r="G52" i="1"/>
  <c r="F57" i="1"/>
  <c r="G57" i="1" s="1"/>
  <c r="P56" i="1"/>
  <c r="Q56" i="1" s="1"/>
  <c r="R56" i="1" s="1"/>
  <c r="Q54" i="1"/>
  <c r="R54" i="1" s="1"/>
  <c r="Q55" i="1"/>
  <c r="R55" i="1" s="1"/>
  <c r="F30" i="1"/>
  <c r="F31" i="1"/>
  <c r="G31" i="1" s="1"/>
  <c r="Q31" i="1" s="1"/>
  <c r="R31" i="1" s="1"/>
  <c r="F18" i="1"/>
  <c r="G18" i="1"/>
  <c r="H18" i="1"/>
  <c r="I15" i="1"/>
  <c r="J15" i="1"/>
  <c r="K15" i="1"/>
  <c r="L15" i="1"/>
  <c r="M15" i="1"/>
  <c r="N15" i="1"/>
  <c r="O15" i="1"/>
  <c r="F15" i="1"/>
  <c r="P15" i="1" s="1"/>
  <c r="G15" i="1"/>
  <c r="H15" i="1"/>
  <c r="F22" i="1"/>
  <c r="O17" i="1"/>
  <c r="Q17" i="1" s="1"/>
  <c r="R17" i="1" s="1"/>
  <c r="F12" i="1"/>
  <c r="G12" i="1"/>
  <c r="H12" i="1"/>
  <c r="I12" i="1"/>
  <c r="J12" i="1"/>
  <c r="K12" i="1"/>
  <c r="L12" i="1"/>
  <c r="M12" i="1"/>
  <c r="N12" i="1"/>
  <c r="O12" i="1"/>
  <c r="E4" i="2"/>
  <c r="F4" i="2"/>
  <c r="G4" i="2"/>
  <c r="H4" i="2"/>
  <c r="I4" i="2"/>
  <c r="J4" i="2"/>
  <c r="K4" i="2"/>
  <c r="L4" i="2"/>
  <c r="M4" i="2"/>
  <c r="N4" i="2"/>
  <c r="O4" i="2"/>
  <c r="D4" i="2"/>
  <c r="E42" i="1"/>
  <c r="F42" i="1"/>
  <c r="G42" i="1" s="1"/>
  <c r="F40" i="1"/>
  <c r="E41" i="1"/>
  <c r="E38" i="1"/>
  <c r="F37" i="1"/>
  <c r="G37" i="1"/>
  <c r="E37" i="1"/>
  <c r="F14" i="1"/>
  <c r="G14" i="1"/>
  <c r="H14" i="1"/>
  <c r="F23" i="1"/>
  <c r="G23" i="1"/>
  <c r="H23" i="1"/>
  <c r="F24" i="1"/>
  <c r="G24" i="1"/>
  <c r="H24" i="1"/>
  <c r="F33" i="1"/>
  <c r="G33" i="1" s="1"/>
  <c r="H33" i="1" s="1"/>
  <c r="F28" i="1"/>
  <c r="H19" i="1"/>
  <c r="G19" i="1"/>
  <c r="F19" i="1"/>
  <c r="H13" i="1"/>
  <c r="G13" i="1"/>
  <c r="F13" i="1"/>
  <c r="H11" i="1"/>
  <c r="G11" i="1"/>
  <c r="F11" i="1"/>
  <c r="H10" i="1"/>
  <c r="G10" i="1"/>
  <c r="F10" i="1"/>
  <c r="H9" i="1"/>
  <c r="G9" i="1"/>
  <c r="F9" i="1"/>
  <c r="F20" i="1"/>
  <c r="C8" i="2"/>
  <c r="B8" i="2"/>
  <c r="O11" i="1"/>
  <c r="N11" i="1"/>
  <c r="M11" i="1"/>
  <c r="L11" i="1"/>
  <c r="K11" i="1"/>
  <c r="J11" i="1"/>
  <c r="I11" i="1"/>
  <c r="A1" i="2"/>
  <c r="O16" i="1"/>
  <c r="Q16" i="1" s="1"/>
  <c r="R16" i="1" s="1"/>
  <c r="P44" i="1"/>
  <c r="Q44" i="1" s="1"/>
  <c r="R44" i="1" s="1"/>
  <c r="J38" i="1"/>
  <c r="H37" i="1"/>
  <c r="I37" i="1"/>
  <c r="J37" i="1"/>
  <c r="K37" i="1"/>
  <c r="L37" i="1"/>
  <c r="M37" i="1"/>
  <c r="N37" i="1"/>
  <c r="O37" i="1"/>
  <c r="P37" i="1"/>
  <c r="Q53" i="1"/>
  <c r="R53" i="1" s="1"/>
  <c r="C5" i="2"/>
  <c r="D5" i="2"/>
  <c r="E5" i="2"/>
  <c r="F5" i="2"/>
  <c r="G5" i="2"/>
  <c r="H5" i="2"/>
  <c r="I5" i="2"/>
  <c r="J5" i="2"/>
  <c r="K5" i="2"/>
  <c r="L5" i="2"/>
  <c r="M5" i="2"/>
  <c r="N5" i="2"/>
  <c r="O5" i="2"/>
  <c r="B5" i="2"/>
  <c r="O9" i="1"/>
  <c r="O23" i="1"/>
  <c r="N23" i="1"/>
  <c r="M23" i="1"/>
  <c r="L23" i="1"/>
  <c r="K23" i="1"/>
  <c r="J23" i="1"/>
  <c r="I23" i="1"/>
  <c r="O14" i="1"/>
  <c r="N14" i="1"/>
  <c r="M14" i="1"/>
  <c r="L14" i="1"/>
  <c r="K14" i="1"/>
  <c r="J14" i="1"/>
  <c r="I14" i="1"/>
  <c r="O13" i="1"/>
  <c r="N13" i="1"/>
  <c r="M13" i="1"/>
  <c r="L13" i="1"/>
  <c r="K13" i="1"/>
  <c r="J13" i="1"/>
  <c r="I13" i="1"/>
  <c r="O10" i="1"/>
  <c r="N10" i="1"/>
  <c r="M10" i="1"/>
  <c r="L10" i="1"/>
  <c r="K10" i="1"/>
  <c r="J10" i="1"/>
  <c r="I10" i="1"/>
  <c r="M9" i="1"/>
  <c r="I9" i="1"/>
  <c r="C58" i="1"/>
  <c r="C62" i="1" s="1"/>
  <c r="C63" i="1"/>
  <c r="C64" i="1" s="1"/>
  <c r="D63" i="1"/>
  <c r="D64" i="1" s="1"/>
  <c r="Q43" i="1"/>
  <c r="R43" i="1" s="1"/>
  <c r="N9" i="1"/>
  <c r="L9" i="1"/>
  <c r="K9" i="1"/>
  <c r="J9" i="1"/>
  <c r="C34" i="1"/>
  <c r="C45" i="1" s="1"/>
  <c r="D34" i="1"/>
  <c r="D45" i="1" s="1"/>
  <c r="E60" i="1"/>
  <c r="F32" i="1"/>
  <c r="G32" i="1" s="1"/>
  <c r="F38" i="1"/>
  <c r="F39" i="1"/>
  <c r="G39" i="1" s="1"/>
  <c r="D58" i="1"/>
  <c r="D62" i="1" s="1"/>
  <c r="F21" i="1"/>
  <c r="G21" i="1" s="1"/>
  <c r="F29" i="1"/>
  <c r="F27" i="1"/>
  <c r="G27" i="1" s="1"/>
  <c r="E34" i="1"/>
  <c r="B7" i="2" l="1"/>
  <c r="C7" i="2"/>
  <c r="B6" i="2"/>
  <c r="C61" i="1"/>
  <c r="C65" i="1" s="1"/>
  <c r="P9" i="1"/>
  <c r="Q9" i="1" s="1"/>
  <c r="R9" i="1" s="1"/>
  <c r="P11" i="1"/>
  <c r="P13" i="1"/>
  <c r="P23" i="1"/>
  <c r="H39" i="1"/>
  <c r="I39" i="1" s="1"/>
  <c r="I19" i="1"/>
  <c r="J19" i="1" s="1"/>
  <c r="K19" i="1" s="1"/>
  <c r="H57" i="1"/>
  <c r="Q37" i="1"/>
  <c r="R37" i="1" s="1"/>
  <c r="H42" i="1"/>
  <c r="E45" i="1"/>
  <c r="E61" i="1" s="1"/>
  <c r="H51" i="1"/>
  <c r="I51" i="1" s="1"/>
  <c r="G58" i="1"/>
  <c r="F7" i="2" s="1"/>
  <c r="I33" i="1"/>
  <c r="G38" i="1"/>
  <c r="P38" i="1" s="1"/>
  <c r="H21" i="1"/>
  <c r="I21" i="1" s="1"/>
  <c r="J21" i="1" s="1"/>
  <c r="D61" i="1"/>
  <c r="D65" i="1" s="1"/>
  <c r="C6" i="2"/>
  <c r="F41" i="1"/>
  <c r="I18" i="1"/>
  <c r="H49" i="1"/>
  <c r="I49" i="1" s="1"/>
  <c r="F58" i="1"/>
  <c r="B9" i="2"/>
  <c r="G20" i="1"/>
  <c r="P10" i="1"/>
  <c r="Q10" i="1" s="1"/>
  <c r="R10" i="1" s="1"/>
  <c r="F34" i="1"/>
  <c r="Q11" i="1"/>
  <c r="R11" i="1" s="1"/>
  <c r="Q13" i="1"/>
  <c r="R13" i="1" s="1"/>
  <c r="G28" i="1"/>
  <c r="I24" i="1"/>
  <c r="P12" i="1"/>
  <c r="Q12" i="1" s="1"/>
  <c r="R12" i="1" s="1"/>
  <c r="H27" i="1"/>
  <c r="G29" i="1"/>
  <c r="H29" i="1" s="1"/>
  <c r="G30" i="1"/>
  <c r="H30" i="1" s="1"/>
  <c r="I50" i="1"/>
  <c r="J50" i="1" s="1"/>
  <c r="K50" i="1" s="1"/>
  <c r="G22" i="1"/>
  <c r="I57" i="1"/>
  <c r="J57" i="1" s="1"/>
  <c r="H32" i="1"/>
  <c r="Q23" i="1"/>
  <c r="R23" i="1" s="1"/>
  <c r="P14" i="1"/>
  <c r="Q14" i="1" s="1"/>
  <c r="R14" i="1" s="1"/>
  <c r="Q15" i="1"/>
  <c r="R15" i="1" s="1"/>
  <c r="E58" i="1"/>
  <c r="H52" i="1"/>
  <c r="I52" i="1" s="1"/>
  <c r="G40" i="1"/>
  <c r="J51" i="1" l="1"/>
  <c r="K51" i="1" s="1"/>
  <c r="I42" i="1"/>
  <c r="J42" i="1" s="1"/>
  <c r="K42" i="1" s="1"/>
  <c r="D6" i="2"/>
  <c r="L50" i="1"/>
  <c r="M50" i="1" s="1"/>
  <c r="N50" i="1" s="1"/>
  <c r="K57" i="1"/>
  <c r="L57" i="1" s="1"/>
  <c r="L19" i="1"/>
  <c r="M19" i="1" s="1"/>
  <c r="N19" i="1" s="1"/>
  <c r="O19" i="1" s="1"/>
  <c r="G62" i="1"/>
  <c r="I58" i="1"/>
  <c r="J49" i="1"/>
  <c r="I29" i="1"/>
  <c r="C9" i="2"/>
  <c r="I30" i="1"/>
  <c r="J30" i="1" s="1"/>
  <c r="J24" i="1"/>
  <c r="F45" i="1"/>
  <c r="J33" i="1"/>
  <c r="H40" i="1"/>
  <c r="I40" i="1" s="1"/>
  <c r="I27" i="1"/>
  <c r="J27" i="1" s="1"/>
  <c r="G41" i="1"/>
  <c r="E62" i="1"/>
  <c r="E65" i="1" s="1"/>
  <c r="D7" i="2"/>
  <c r="K21" i="1"/>
  <c r="L21" i="1" s="1"/>
  <c r="J39" i="1"/>
  <c r="K39" i="1" s="1"/>
  <c r="J52" i="1"/>
  <c r="K52" i="1" s="1"/>
  <c r="G34" i="1"/>
  <c r="F62" i="1"/>
  <c r="E7" i="2"/>
  <c r="I32" i="1"/>
  <c r="J32" i="1" s="1"/>
  <c r="J18" i="1"/>
  <c r="Q38" i="1"/>
  <c r="R38" i="1" s="1"/>
  <c r="H22" i="1"/>
  <c r="H28" i="1"/>
  <c r="H20" i="1"/>
  <c r="I20" i="1" s="1"/>
  <c r="H58" i="1"/>
  <c r="L51" i="1" l="1"/>
  <c r="M51" i="1"/>
  <c r="N51" i="1" s="1"/>
  <c r="O51" i="1" s="1"/>
  <c r="P51" i="1" s="1"/>
  <c r="Q51" i="1" s="1"/>
  <c r="R51" i="1" s="1"/>
  <c r="K30" i="1"/>
  <c r="O50" i="1"/>
  <c r="P50" i="1" s="1"/>
  <c r="Q50" i="1" s="1"/>
  <c r="R50" i="1" s="1"/>
  <c r="J29" i="1"/>
  <c r="M21" i="1"/>
  <c r="L30" i="1"/>
  <c r="K32" i="1"/>
  <c r="K24" i="1"/>
  <c r="L24" i="1" s="1"/>
  <c r="J40" i="1"/>
  <c r="K49" i="1"/>
  <c r="L39" i="1"/>
  <c r="H34" i="1"/>
  <c r="I28" i="1"/>
  <c r="I22" i="1"/>
  <c r="J22" i="1" s="1"/>
  <c r="H41" i="1"/>
  <c r="G45" i="1"/>
  <c r="P19" i="1"/>
  <c r="Q19" i="1" s="1"/>
  <c r="R19" i="1" s="1"/>
  <c r="K27" i="1"/>
  <c r="L32" i="1"/>
  <c r="J20" i="1"/>
  <c r="M57" i="1"/>
  <c r="H7" i="2"/>
  <c r="I62" i="1"/>
  <c r="K18" i="1"/>
  <c r="L18" i="1" s="1"/>
  <c r="K33" i="1"/>
  <c r="L33" i="1" s="1"/>
  <c r="G7" i="2"/>
  <c r="H62" i="1"/>
  <c r="L42" i="1"/>
  <c r="F60" i="1"/>
  <c r="D9" i="2"/>
  <c r="L52" i="1"/>
  <c r="F61" i="1"/>
  <c r="E6" i="2"/>
  <c r="J58" i="1"/>
  <c r="K29" i="1" l="1"/>
  <c r="L29" i="1" s="1"/>
  <c r="M29" i="1" s="1"/>
  <c r="N29" i="1" s="1"/>
  <c r="M24" i="1"/>
  <c r="N24" i="1" s="1"/>
  <c r="O24" i="1" s="1"/>
  <c r="M18" i="1"/>
  <c r="H45" i="1"/>
  <c r="G6" i="2" s="1"/>
  <c r="M33" i="1"/>
  <c r="F65" i="1"/>
  <c r="M39" i="1"/>
  <c r="K20" i="1"/>
  <c r="L20" i="1" s="1"/>
  <c r="M20" i="1" s="1"/>
  <c r="N20" i="1" s="1"/>
  <c r="I41" i="1"/>
  <c r="J28" i="1"/>
  <c r="K40" i="1"/>
  <c r="K58" i="1"/>
  <c r="J62" i="1"/>
  <c r="I7" i="2"/>
  <c r="M30" i="1"/>
  <c r="L27" i="1"/>
  <c r="K22" i="1"/>
  <c r="P24" i="1"/>
  <c r="Q24" i="1" s="1"/>
  <c r="R24" i="1" s="1"/>
  <c r="N21" i="1"/>
  <c r="N57" i="1"/>
  <c r="M42" i="1"/>
  <c r="G61" i="1"/>
  <c r="F6" i="2"/>
  <c r="M32" i="1"/>
  <c r="N32" i="1" s="1"/>
  <c r="O32" i="1" s="1"/>
  <c r="P32" i="1" s="1"/>
  <c r="Q32" i="1" s="1"/>
  <c r="R32" i="1" s="1"/>
  <c r="M52" i="1"/>
  <c r="L49" i="1"/>
  <c r="L58" i="1" s="1"/>
  <c r="I34" i="1"/>
  <c r="H61" i="1" l="1"/>
  <c r="G60" i="1"/>
  <c r="G65" i="1" s="1"/>
  <c r="E9" i="2"/>
  <c r="P29" i="1"/>
  <c r="Q29" i="1" s="1"/>
  <c r="R29" i="1" s="1"/>
  <c r="M49" i="1"/>
  <c r="M58" i="1" s="1"/>
  <c r="N18" i="1"/>
  <c r="N39" i="1"/>
  <c r="N33" i="1"/>
  <c r="O33" i="1" s="1"/>
  <c r="P33" i="1" s="1"/>
  <c r="O29" i="1"/>
  <c r="O20" i="1"/>
  <c r="P20" i="1" s="1"/>
  <c r="Q20" i="1" s="1"/>
  <c r="R20" i="1" s="1"/>
  <c r="N30" i="1"/>
  <c r="O30" i="1" s="1"/>
  <c r="P30" i="1" s="1"/>
  <c r="Q30" i="1" s="1"/>
  <c r="J34" i="1"/>
  <c r="K28" i="1"/>
  <c r="L28" i="1" s="1"/>
  <c r="I45" i="1"/>
  <c r="J41" i="1"/>
  <c r="K41" i="1" s="1"/>
  <c r="O57" i="1"/>
  <c r="P57" i="1" s="1"/>
  <c r="Q57" i="1" s="1"/>
  <c r="R57" i="1" s="1"/>
  <c r="K62" i="1"/>
  <c r="J7" i="2"/>
  <c r="M62" i="1"/>
  <c r="L7" i="2"/>
  <c r="M27" i="1"/>
  <c r="N49" i="1"/>
  <c r="L62" i="1"/>
  <c r="K7" i="2"/>
  <c r="N52" i="1"/>
  <c r="O52" i="1" s="1"/>
  <c r="O21" i="1"/>
  <c r="P21" i="1" s="1"/>
  <c r="N42" i="1"/>
  <c r="O42" i="1" s="1"/>
  <c r="P42" i="1" s="1"/>
  <c r="Q42" i="1" s="1"/>
  <c r="R42" i="1" s="1"/>
  <c r="L40" i="1"/>
  <c r="L22" i="1"/>
  <c r="J45" i="1" l="1"/>
  <c r="I6" i="2" s="1"/>
  <c r="M28" i="1"/>
  <c r="O39" i="1"/>
  <c r="P39" i="1" s="1"/>
  <c r="O18" i="1"/>
  <c r="P18" i="1" s="1"/>
  <c r="Q18" i="1" s="1"/>
  <c r="R18" i="1" s="1"/>
  <c r="Q33" i="1"/>
  <c r="R33" i="1" s="1"/>
  <c r="M22" i="1"/>
  <c r="L34" i="1"/>
  <c r="N58" i="1"/>
  <c r="M40" i="1"/>
  <c r="N40" i="1" s="1"/>
  <c r="O49" i="1"/>
  <c r="O58" i="1" s="1"/>
  <c r="I61" i="1"/>
  <c r="H6" i="2"/>
  <c r="L41" i="1"/>
  <c r="M41" i="1" s="1"/>
  <c r="N41" i="1" s="1"/>
  <c r="Q21" i="1"/>
  <c r="R21" i="1" s="1"/>
  <c r="P52" i="1"/>
  <c r="Q52" i="1" s="1"/>
  <c r="R52" i="1" s="1"/>
  <c r="N27" i="1"/>
  <c r="H60" i="1"/>
  <c r="H65" i="1" s="1"/>
  <c r="F9" i="2"/>
  <c r="K34" i="1"/>
  <c r="K45" i="1" s="1"/>
  <c r="J61" i="1" l="1"/>
  <c r="L45" i="1"/>
  <c r="K6" i="2" s="1"/>
  <c r="N28" i="1"/>
  <c r="O28" i="1" s="1"/>
  <c r="Q39" i="1"/>
  <c r="R39" i="1" s="1"/>
  <c r="G9" i="2"/>
  <c r="I60" i="1"/>
  <c r="I65" i="1" s="1"/>
  <c r="L61" i="1"/>
  <c r="O41" i="1"/>
  <c r="P41" i="1" s="1"/>
  <c r="Q41" i="1" s="1"/>
  <c r="R41" i="1" s="1"/>
  <c r="M34" i="1"/>
  <c r="M45" i="1" s="1"/>
  <c r="N22" i="1"/>
  <c r="O40" i="1"/>
  <c r="P40" i="1" s="1"/>
  <c r="Q40" i="1" s="1"/>
  <c r="R40" i="1" s="1"/>
  <c r="N7" i="2"/>
  <c r="O62" i="1"/>
  <c r="O27" i="1"/>
  <c r="P27" i="1" s="1"/>
  <c r="Q27" i="1" s="1"/>
  <c r="R27" i="1" s="1"/>
  <c r="M7" i="2"/>
  <c r="N62" i="1"/>
  <c r="K61" i="1"/>
  <c r="J6" i="2"/>
  <c r="P49" i="1"/>
  <c r="P28" i="1" l="1"/>
  <c r="Q28" i="1"/>
  <c r="R28" i="1" s="1"/>
  <c r="O22" i="1"/>
  <c r="N34" i="1"/>
  <c r="N45" i="1" s="1"/>
  <c r="P58" i="1"/>
  <c r="Q49" i="1"/>
  <c r="R49" i="1" s="1"/>
  <c r="L6" i="2"/>
  <c r="M61" i="1"/>
  <c r="J60" i="1"/>
  <c r="J65" i="1" s="1"/>
  <c r="H9" i="2"/>
  <c r="P62" i="1" l="1"/>
  <c r="O7" i="2"/>
  <c r="Q58" i="1"/>
  <c r="R58" i="1" s="1"/>
  <c r="K60" i="1"/>
  <c r="K65" i="1" s="1"/>
  <c r="I9" i="2"/>
  <c r="N61" i="1"/>
  <c r="M6" i="2"/>
  <c r="O34" i="1"/>
  <c r="O45" i="1" s="1"/>
  <c r="P22" i="1"/>
  <c r="O61" i="1" l="1"/>
  <c r="N6" i="2"/>
  <c r="Q22" i="1"/>
  <c r="R22" i="1" s="1"/>
  <c r="P34" i="1"/>
  <c r="L60" i="1"/>
  <c r="L65" i="1" s="1"/>
  <c r="J9" i="2"/>
  <c r="P45" i="1" l="1"/>
  <c r="Q34" i="1"/>
  <c r="R34" i="1" s="1"/>
  <c r="M60" i="1"/>
  <c r="M65" i="1" s="1"/>
  <c r="K9" i="2"/>
  <c r="L9" i="2" l="1"/>
  <c r="N60" i="1"/>
  <c r="N65" i="1" s="1"/>
  <c r="O6" i="2"/>
  <c r="P61" i="1"/>
  <c r="Q45" i="1"/>
  <c r="R45" i="1" s="1"/>
  <c r="M9" i="2" l="1"/>
  <c r="O60" i="1"/>
  <c r="O65" i="1" s="1"/>
  <c r="N9" i="2" l="1"/>
  <c r="P60" i="1"/>
  <c r="P65" i="1" s="1"/>
  <c r="O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Denise Wolff</author>
    <author>Julie Rupe</author>
  </authors>
  <commentList>
    <comment ref="C5" authorId="0" shapeId="0" xr:uid="{00000000-0006-0000-0000-000001000000}">
      <text>
        <r>
          <rPr>
            <sz val="9"/>
            <color indexed="81"/>
            <rFont val="Tahoma"/>
            <family val="2"/>
          </rPr>
          <t xml:space="preserve">Budgeted enrollment numbers.
</t>
        </r>
      </text>
    </comment>
    <comment ref="D5" authorId="0" shapeId="0" xr:uid="{00000000-0006-0000-0000-000002000000}">
      <text>
        <r>
          <rPr>
            <sz val="9"/>
            <color indexed="81"/>
            <rFont val="Tahoma"/>
            <family val="2"/>
          </rPr>
          <t xml:space="preserve">Insert the Average FTE
here and update monthly.
</t>
        </r>
      </text>
    </comment>
    <comment ref="C7" authorId="0" shapeId="0" xr:uid="{00000000-0006-0000-0000-000003000000}">
      <text>
        <r>
          <rPr>
            <sz val="9"/>
            <color indexed="81"/>
            <rFont val="Tahoma"/>
            <family val="2"/>
          </rPr>
          <t>This column is your budgeted figures.  It would only change if you did a budget extension</t>
        </r>
      </text>
    </comment>
    <comment ref="D7" authorId="0" shapeId="0" xr:uid="{00000000-0006-0000-0000-000004000000}">
      <text>
        <r>
          <rPr>
            <sz val="9"/>
            <color indexed="81"/>
            <rFont val="Tahoma"/>
            <family val="2"/>
          </rPr>
          <t>Sept. through Dec. this will reflect budget.  Starting in January, use the apportionment figures.  Only revenue flowing through OSPI belongs in this area.</t>
        </r>
      </text>
    </comment>
    <comment ref="E35" authorId="1" shapeId="0" xr:uid="{04B65095-5F0D-43A6-BD36-FC1A6C819444}">
      <text>
        <r>
          <rPr>
            <b/>
            <sz val="9"/>
            <color indexed="81"/>
            <rFont val="Tahoma"/>
            <family val="2"/>
          </rPr>
          <t>Julie Rupe:</t>
        </r>
        <r>
          <rPr>
            <sz val="9"/>
            <color indexed="81"/>
            <rFont val="Tahoma"/>
            <family val="2"/>
          </rPr>
          <t xml:space="preserve">
the formulas for tax collection is based on the percentages noted in the gray boxes.  You can update the % to match the historical collection percentage each month for your district
</t>
        </r>
      </text>
    </comment>
    <comment ref="D47" authorId="0" shapeId="0" xr:uid="{00000000-0006-0000-0000-000006000000}">
      <text>
        <r>
          <rPr>
            <sz val="9"/>
            <color indexed="81"/>
            <rFont val="Tahoma"/>
            <family val="2"/>
          </rPr>
          <t xml:space="preserve">These columns should be adjusted as better estimates are determined.
</t>
        </r>
      </text>
    </comment>
    <comment ref="D60" authorId="0" shapeId="0" xr:uid="{00000000-0006-0000-0000-000007000000}">
      <text>
        <r>
          <rPr>
            <sz val="8"/>
            <color indexed="81"/>
            <rFont val="Tahoma"/>
            <family val="2"/>
          </rPr>
          <t xml:space="preserve">This number is your ending fund balance from the prior year's F196 report.
</t>
        </r>
      </text>
    </comment>
    <comment ref="B63" authorId="0" shapeId="0" xr:uid="{00000000-0006-0000-0000-000008000000}">
      <text>
        <r>
          <rPr>
            <sz val="9"/>
            <color indexed="81"/>
            <rFont val="Tahoma"/>
            <family val="2"/>
          </rPr>
          <t xml:space="preserve">Transfers and Redirections are not included in the expenditures.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Denise Wolff</author>
  </authors>
  <commentList>
    <comment ref="C3" authorId="0" shapeId="0" xr:uid="{00000000-0006-0000-0100-000004000000}">
      <text>
        <r>
          <rPr>
            <sz val="9"/>
            <color indexed="81"/>
            <rFont val="Tahoma"/>
            <family val="2"/>
          </rPr>
          <t>Sept. through Dec. this will reflect budget.  Starting in January, use the apportionment figures.  Only revenue flowing through OSPI belongs in this area.</t>
        </r>
      </text>
    </comment>
    <comment ref="C5" authorId="0" shapeId="0" xr:uid="{00000000-0006-0000-0100-000002000000}">
      <text>
        <r>
          <rPr>
            <sz val="9"/>
            <color indexed="81"/>
            <rFont val="Tahoma"/>
            <family val="2"/>
          </rPr>
          <t xml:space="preserve">Insert the Average FTE
here and update monthly.
</t>
        </r>
      </text>
    </comment>
  </commentList>
</comments>
</file>

<file path=xl/sharedStrings.xml><?xml version="1.0" encoding="utf-8"?>
<sst xmlns="http://schemas.openxmlformats.org/spreadsheetml/2006/main" count="209" uniqueCount="142">
  <si>
    <t>Total Revenues</t>
  </si>
  <si>
    <t>Food Serv</t>
  </si>
  <si>
    <t>January</t>
  </si>
  <si>
    <t>February</t>
  </si>
  <si>
    <t>March</t>
  </si>
  <si>
    <t>April</t>
  </si>
  <si>
    <t>Annual Amt.</t>
  </si>
  <si>
    <t>September</t>
  </si>
  <si>
    <t>October</t>
  </si>
  <si>
    <t>November</t>
  </si>
  <si>
    <t>December</t>
  </si>
  <si>
    <t>Breakfast</t>
  </si>
  <si>
    <t>May</t>
  </si>
  <si>
    <t>June</t>
  </si>
  <si>
    <t>July</t>
  </si>
  <si>
    <t>August</t>
  </si>
  <si>
    <t>Fed Title I-51</t>
  </si>
  <si>
    <t>Original Budget</t>
  </si>
  <si>
    <t>Expenditures</t>
  </si>
  <si>
    <t>4158-02</t>
  </si>
  <si>
    <t>APPORTIONMENT</t>
  </si>
  <si>
    <t>Regular Apportionment</t>
  </si>
  <si>
    <t>Apport Spec Ed</t>
  </si>
  <si>
    <t>Special Ed</t>
  </si>
  <si>
    <t>Learning Assist</t>
  </si>
  <si>
    <t>Teacher A P</t>
  </si>
  <si>
    <t>Transportation</t>
  </si>
  <si>
    <t>Fed Title II -52</t>
  </si>
  <si>
    <t>Current</t>
  </si>
  <si>
    <t>Grant</t>
  </si>
  <si>
    <t>4158-06</t>
  </si>
  <si>
    <t>Truancy</t>
  </si>
  <si>
    <t>4158-07</t>
  </si>
  <si>
    <t>School Food-Federal</t>
  </si>
  <si>
    <t>Current Estimate</t>
  </si>
  <si>
    <t>2000 Local Deposits</t>
  </si>
  <si>
    <t>Plus Revenue</t>
  </si>
  <si>
    <t>Minus Expenditures</t>
  </si>
  <si>
    <t>1500 Timber Excise</t>
  </si>
  <si>
    <t>Fund Balance Projection  (Apportionment Based)</t>
  </si>
  <si>
    <t>Check Total</t>
  </si>
  <si>
    <t>REVENUE</t>
  </si>
  <si>
    <t>ENROLLMENT</t>
  </si>
  <si>
    <t>Beginning Fund Balance</t>
  </si>
  <si>
    <t>June 6%</t>
  </si>
  <si>
    <t>August 10%</t>
  </si>
  <si>
    <t>December 9.%</t>
  </si>
  <si>
    <t>February 9.%</t>
  </si>
  <si>
    <t>March 9.%</t>
  </si>
  <si>
    <t>April 9.%</t>
  </si>
  <si>
    <t>September 9.%</t>
  </si>
  <si>
    <t>October 8.%</t>
  </si>
  <si>
    <t>January 8.5%</t>
  </si>
  <si>
    <t>May 5.0%</t>
  </si>
  <si>
    <t>July 12.5%</t>
  </si>
  <si>
    <t>November 5.%</t>
  </si>
  <si>
    <t>* Each month, after January, review and update the current apportionment and revenue estimates to reflect your expected final amounts.</t>
  </si>
  <si>
    <t xml:space="preserve">1100 Taxes collected </t>
  </si>
  <si>
    <t>Line 035 F-197</t>
  </si>
  <si>
    <t>Line 020 F-197</t>
  </si>
  <si>
    <t xml:space="preserve">2300 Interest </t>
  </si>
  <si>
    <t>Line 002 F-197</t>
  </si>
  <si>
    <t xml:space="preserve"> Line 001 F-197</t>
  </si>
  <si>
    <t xml:space="preserve">Other deposits: </t>
  </si>
  <si>
    <t>Federal, State, Non SPI</t>
  </si>
  <si>
    <t>Adjustments</t>
  </si>
  <si>
    <t xml:space="preserve">Payroll - Certificated </t>
  </si>
  <si>
    <t>Object 2</t>
  </si>
  <si>
    <t xml:space="preserve">Payroll - Classified </t>
  </si>
  <si>
    <t>Object 3</t>
  </si>
  <si>
    <t xml:space="preserve">Benefits </t>
  </si>
  <si>
    <t>Object 4</t>
  </si>
  <si>
    <t xml:space="preserve">Accounts Payable </t>
  </si>
  <si>
    <t>Objects 5 through 9</t>
  </si>
  <si>
    <t>Other cash decreases</t>
  </si>
  <si>
    <t xml:space="preserve"> per county</t>
  </si>
  <si>
    <t xml:space="preserve">Total Expenditures  </t>
  </si>
  <si>
    <t>Transfers or</t>
  </si>
  <si>
    <t xml:space="preserve"> Redirection of Apportionment</t>
  </si>
  <si>
    <t xml:space="preserve">Plus or Minus </t>
  </si>
  <si>
    <t>Balance to Budget Status Report</t>
  </si>
  <si>
    <t xml:space="preserve">Indicates Balance with system generated reports </t>
  </si>
  <si>
    <r>
      <rPr>
        <b/>
        <sz val="10"/>
        <rFont val="Arial"/>
        <family val="2"/>
      </rPr>
      <t>Indicates areas of input and updates</t>
    </r>
    <r>
      <rPr>
        <sz val="10"/>
        <rFont val="Arial"/>
        <family val="2"/>
      </rPr>
      <t xml:space="preserve"> </t>
    </r>
  </si>
  <si>
    <t>Balance to Apportionment report</t>
  </si>
  <si>
    <t>Other Large Expenditures</t>
  </si>
  <si>
    <t>State Revenue</t>
  </si>
  <si>
    <t>* Don't forget to consider adjusting expenditure for large purchases, or unbudgeted items, when comparing expenditures to budget appropriation (expenditures) for possible budget extension requirements.</t>
  </si>
  <si>
    <t>Other Revenues</t>
  </si>
  <si>
    <t>Federal Revenue</t>
  </si>
  <si>
    <t>* Before you begin entering your monthly data, zero out the column to remove the formulas.  Leaving a formula in a cell will recalculate the numbers each time the Current column number changes.</t>
  </si>
  <si>
    <t>* If you are a cash district, you need to recognize your carryover or recovery that appears on your January apportionment as an adjustment.  If you are an accrual district,  review how you recognized it in your year end adjustments.</t>
  </si>
  <si>
    <t>* Each year, you must download a new sheet to have the coding populated for projections.</t>
  </si>
  <si>
    <t>Commodities</t>
  </si>
  <si>
    <t>*</t>
  </si>
  <si>
    <t>Are there any differences between this spreadsheet and the Budget status report?</t>
  </si>
  <si>
    <t>Why?</t>
  </si>
  <si>
    <t>Expenditures are projected out based on the average actual expenditures so far this year</t>
  </si>
  <si>
    <t>Food Service Revenue in the current column is based on the monthly average revenue multiplied by 10 months</t>
  </si>
  <si>
    <t>National Boards revenue comes through in July apportionment</t>
  </si>
  <si>
    <t>Tax collection %</t>
  </si>
  <si>
    <t>Difference</t>
  </si>
  <si>
    <t>6998 Commodities</t>
  </si>
  <si>
    <t>year end journal entry</t>
  </si>
  <si>
    <t>add to the specific month</t>
  </si>
  <si>
    <t>4158-03</t>
  </si>
  <si>
    <t>NBCT</t>
  </si>
  <si>
    <t>Revenue for Local Deposits-  all funds collected at the district or directly to the County- not included on apportionment</t>
  </si>
  <si>
    <t xml:space="preserve">Grants noted in red were budgeted for, but the district has not received funding yet.  </t>
  </si>
  <si>
    <t xml:space="preserve">Projected Ending Fund Balance </t>
  </si>
  <si>
    <t>Annual Projection</t>
  </si>
  <si>
    <t>Sample Assumptions- Districts should update/add/delete assumptions as needed</t>
  </si>
  <si>
    <t>SY 2023-24</t>
  </si>
  <si>
    <t xml:space="preserve">November </t>
  </si>
  <si>
    <t xml:space="preserve">December </t>
  </si>
  <si>
    <t xml:space="preserve">January </t>
  </si>
  <si>
    <t xml:space="preserve">March </t>
  </si>
  <si>
    <t xml:space="preserve">April </t>
  </si>
  <si>
    <t xml:space="preserve">July </t>
  </si>
  <si>
    <t xml:space="preserve">August </t>
  </si>
  <si>
    <t>Special Purpose</t>
  </si>
  <si>
    <t>* Review expenditures monthly, using actual monthly expenditures to predict final expenditures.  Update the amount in the Current Estimate column.  The formula will automatically fill in the remaining month's expenditure estimates.</t>
  </si>
  <si>
    <t>All formulas are based on the current column- Current revenues are taken from the annual allotment +/- prior year adjustments from the apportionment report</t>
  </si>
  <si>
    <t>Additional large expenditures are noted separately on the spreadsheet</t>
  </si>
  <si>
    <t>Indicates Actual Amounts entered</t>
  </si>
  <si>
    <t>SY 2024-25</t>
  </si>
  <si>
    <t>Fed Special ED-24</t>
  </si>
  <si>
    <t>Estimate</t>
  </si>
  <si>
    <t>Break out prior year grant claims in separate line items to track more accuratly</t>
  </si>
  <si>
    <t>State Funded TK</t>
  </si>
  <si>
    <t>6198-04</t>
  </si>
  <si>
    <t>4158-04</t>
  </si>
  <si>
    <t>1191 FG</t>
  </si>
  <si>
    <t>4198-06</t>
  </si>
  <si>
    <t>4198-07</t>
  </si>
  <si>
    <t>CEP Breakfast</t>
  </si>
  <si>
    <t>CEP Lunch</t>
  </si>
  <si>
    <t>Apportionment Totals</t>
  </si>
  <si>
    <t xml:space="preserve"> North River School District</t>
  </si>
  <si>
    <t>Actual</t>
  </si>
  <si>
    <t>Fed Title IV</t>
  </si>
  <si>
    <t>PY Fed Title IV</t>
  </si>
  <si>
    <t>G5 Small Rural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</si>
</sst>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7" x14ac:knownFonts="1">
    <font>
      <sz val="10"/>
      <name val="Arial"/>
    </font>
    <font>
      <sz val="10"/>
      <name val="Arial"/>
      <family val="2"/>
    </font>
    <font>
      <sz val="10"/>
      <name val="Tahoma"/>
      <family val="2"/>
    </font>
    <font>
      <b/>
      <sz val="10"/>
      <name val="Tahoma"/>
      <family val="2"/>
    </font>
    <font>
      <b/>
      <sz val="10"/>
      <name val="Arial"/>
      <family val="2"/>
    </font>
    <font>
      <b/>
      <i/>
      <sz val="10"/>
      <name val="Tahoma"/>
      <family val="2"/>
    </font>
    <font>
      <sz val="10"/>
      <name val="Arial"/>
      <family val="2"/>
    </font>
    <font>
      <b/>
      <sz val="10"/>
      <name val="Arial"/>
      <family val="2"/>
    </font>
    <font>
      <sz val="9"/>
      <name val="Arial"/>
      <family val="2"/>
    </font>
    <font>
      <b/>
      <sz val="9"/>
      <name val="Arial"/>
      <family val="2"/>
    </font>
    <font>
      <b/>
      <i/>
      <sz val="10"/>
      <name val="Arial"/>
      <family val="2"/>
    </font>
    <font>
      <b/>
      <sz val="12"/>
      <name val="Arial"/>
      <family val="2"/>
    </font>
    <font>
      <sz val="12"/>
      <name val="Arial"/>
      <family val="2"/>
    </font>
    <font>
      <sz val="8"/>
      <color indexed="81"/>
      <name val="Tahoma"/>
      <family val="2"/>
    </font>
    <font>
      <sz val="10"/>
      <color indexed="8"/>
      <name val="Tahoma"/>
      <family val="2"/>
    </font>
    <font>
      <sz val="9"/>
      <color indexed="81"/>
      <name val="Tahoma"/>
      <family val="2"/>
    </font>
    <font>
      <sz val="10"/>
      <color rgb="FF0070C0"/>
      <name val="Arial"/>
      <family val="2"/>
    </font>
    <font>
      <sz val="10"/>
      <color theme="0" tint="-0.499984740745262"/>
      <name val="Arial"/>
      <family val="2"/>
    </font>
    <font>
      <b/>
      <sz val="12"/>
      <color rgb="FF0000CC"/>
      <name val="Arial"/>
      <family val="2"/>
    </font>
    <font>
      <sz val="10"/>
      <name val="Arial"/>
      <family val="2"/>
    </font>
    <font>
      <b/>
      <sz val="16"/>
      <color theme="1"/>
      <name val="Tw Cen MT"/>
      <family val="2"/>
      <scheme val="minor"/>
    </font>
    <font>
      <b/>
      <sz val="14"/>
      <color theme="1"/>
      <name val="Tw Cen MT"/>
      <family val="2"/>
      <scheme val="minor"/>
    </font>
    <font>
      <b/>
      <sz val="9"/>
      <color indexed="81"/>
      <name val="Tahoma"/>
      <family val="2"/>
    </font>
    <font>
      <b/>
      <sz val="12"/>
      <name val="Tahoma"/>
      <family val="2"/>
    </font>
    <font>
      <b/>
      <i/>
      <sz val="10"/>
      <color rgb="FF7030A0"/>
      <name val="Tahoma"/>
      <family val="2"/>
    </font>
    <font>
      <b/>
      <i/>
      <sz val="14"/>
      <color rgb="FF7030A0"/>
      <name val="Arial"/>
      <family val="2"/>
    </font>
    <font>
      <b/>
      <i/>
      <sz val="10"/>
      <color rgb="FF7030A0"/>
      <name val="Arial"/>
      <family val="2"/>
    </font>
  </fonts>
  <fills count="10">
    <fill>
      <patternFill patternType="none"/>
    </fill>
    <fill>
      <patternFill patternType="gray125"/>
    </fill>
    <fill>
      <patternFill patternType="solid">
        <fgColor indexed="65"/>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9" tint="0.79998168889431442"/>
        <bgColor indexed="64"/>
      </patternFill>
    </fill>
  </fills>
  <borders count="51">
    <border>
      <left/>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2" fillId="0" borderId="0" xfId="0" applyFont="1"/>
    <xf numFmtId="164" fontId="2" fillId="0" borderId="0" xfId="1" applyNumberFormat="1" applyFont="1"/>
    <xf numFmtId="43" fontId="2" fillId="0" borderId="0" xfId="1" applyFont="1"/>
    <xf numFmtId="0" fontId="6" fillId="0" borderId="0" xfId="0" applyFont="1"/>
    <xf numFmtId="164" fontId="6" fillId="0" borderId="0" xfId="1" applyNumberFormat="1" applyFont="1"/>
    <xf numFmtId="43" fontId="6" fillId="0" borderId="0" xfId="1" applyFont="1"/>
    <xf numFmtId="43" fontId="6" fillId="0" borderId="0" xfId="1" applyFont="1" applyAlignment="1">
      <alignment horizontal="left" indent="1"/>
    </xf>
    <xf numFmtId="4" fontId="9" fillId="0" borderId="3" xfId="1" applyNumberFormat="1" applyFont="1" applyBorder="1"/>
    <xf numFmtId="4" fontId="7" fillId="0" borderId="3" xfId="1" applyNumberFormat="1" applyFont="1" applyBorder="1"/>
    <xf numFmtId="4" fontId="3" fillId="0" borderId="3" xfId="1" applyNumberFormat="1" applyFont="1" applyBorder="1"/>
    <xf numFmtId="4" fontId="6" fillId="0" borderId="0" xfId="1" applyNumberFormat="1" applyFont="1"/>
    <xf numFmtId="4" fontId="6" fillId="0" borderId="0" xfId="0" applyNumberFormat="1" applyFont="1"/>
    <xf numFmtId="4" fontId="2" fillId="0" borderId="0" xfId="0" applyNumberFormat="1" applyFont="1"/>
    <xf numFmtId="0" fontId="12" fillId="0" borderId="0" xfId="0" applyFont="1"/>
    <xf numFmtId="164" fontId="12" fillId="0" borderId="0" xfId="1" applyNumberFormat="1" applyFont="1"/>
    <xf numFmtId="0" fontId="7" fillId="0" borderId="5" xfId="0" applyFont="1" applyBorder="1" applyAlignment="1">
      <alignment horizontal="center"/>
    </xf>
    <xf numFmtId="0" fontId="4" fillId="0" borderId="5" xfId="0" applyFont="1" applyBorder="1" applyAlignment="1">
      <alignment horizontal="center"/>
    </xf>
    <xf numFmtId="164" fontId="7" fillId="0" borderId="4" xfId="1" applyNumberFormat="1" applyFont="1" applyBorder="1" applyAlignment="1">
      <alignment horizontal="center"/>
    </xf>
    <xf numFmtId="164" fontId="7" fillId="0" borderId="5" xfId="1" applyNumberFormat="1" applyFont="1" applyBorder="1" applyAlignment="1">
      <alignment horizontal="center"/>
    </xf>
    <xf numFmtId="0" fontId="3" fillId="0" borderId="5" xfId="0" applyFont="1" applyBorder="1" applyAlignment="1">
      <alignment horizontal="center"/>
    </xf>
    <xf numFmtId="0" fontId="3" fillId="0" borderId="1" xfId="0" applyFont="1" applyBorder="1" applyAlignment="1">
      <alignment horizontal="center"/>
    </xf>
    <xf numFmtId="0" fontId="7" fillId="0" borderId="1" xfId="0" applyFont="1" applyBorder="1" applyAlignment="1">
      <alignment horizontal="center"/>
    </xf>
    <xf numFmtId="0" fontId="1" fillId="0" borderId="0" xfId="0" applyFont="1"/>
    <xf numFmtId="0" fontId="3" fillId="0" borderId="0" xfId="0" applyFont="1" applyAlignment="1">
      <alignment horizontal="center"/>
    </xf>
    <xf numFmtId="4" fontId="17" fillId="0" borderId="0" xfId="0" applyNumberFormat="1" applyFont="1"/>
    <xf numFmtId="164" fontId="4" fillId="0" borderId="5" xfId="1" applyNumberFormat="1" applyFont="1" applyBorder="1" applyAlignment="1">
      <alignment horizontal="center"/>
    </xf>
    <xf numFmtId="43" fontId="7" fillId="2" borderId="3" xfId="1" applyFont="1" applyFill="1" applyBorder="1"/>
    <xf numFmtId="164" fontId="6" fillId="2" borderId="0" xfId="1" applyNumberFormat="1" applyFont="1" applyFill="1"/>
    <xf numFmtId="164" fontId="7" fillId="2" borderId="10" xfId="1" applyNumberFormat="1" applyFont="1" applyFill="1" applyBorder="1" applyAlignment="1">
      <alignment horizontal="center"/>
    </xf>
    <xf numFmtId="164" fontId="6" fillId="2" borderId="8" xfId="1" applyNumberFormat="1" applyFont="1" applyFill="1" applyBorder="1"/>
    <xf numFmtId="164" fontId="7" fillId="2" borderId="3" xfId="1" applyNumberFormat="1" applyFont="1" applyFill="1" applyBorder="1"/>
    <xf numFmtId="164" fontId="6" fillId="2" borderId="9" xfId="1" applyNumberFormat="1" applyFont="1" applyFill="1" applyBorder="1"/>
    <xf numFmtId="0" fontId="12" fillId="0" borderId="0" xfId="0" applyFont="1" applyAlignment="1">
      <alignment wrapText="1"/>
    </xf>
    <xf numFmtId="20" fontId="4" fillId="0" borderId="0" xfId="0" applyNumberFormat="1" applyFont="1" applyAlignment="1">
      <alignment wrapText="1"/>
    </xf>
    <xf numFmtId="0" fontId="6" fillId="0" borderId="0" xfId="0" applyFont="1" applyAlignment="1">
      <alignment wrapText="1"/>
    </xf>
    <xf numFmtId="0" fontId="2" fillId="0" borderId="0" xfId="0" applyFont="1" applyAlignment="1">
      <alignment wrapText="1"/>
    </xf>
    <xf numFmtId="0" fontId="0" fillId="0" borderId="0" xfId="0" applyAlignment="1">
      <alignment wrapText="1"/>
    </xf>
    <xf numFmtId="0" fontId="11" fillId="0" borderId="0" xfId="0" applyFont="1" applyAlignment="1">
      <alignment wrapText="1"/>
    </xf>
    <xf numFmtId="0" fontId="4" fillId="0" borderId="0" xfId="0" applyFont="1" applyAlignment="1">
      <alignment wrapText="1"/>
    </xf>
    <xf numFmtId="0" fontId="4" fillId="0" borderId="4" xfId="0" applyFont="1" applyBorder="1" applyAlignment="1">
      <alignment wrapText="1"/>
    </xf>
    <xf numFmtId="0" fontId="6" fillId="0" borderId="14" xfId="0" applyFont="1" applyBorder="1" applyAlignment="1">
      <alignment wrapText="1"/>
    </xf>
    <xf numFmtId="164" fontId="2" fillId="0" borderId="0" xfId="1" applyNumberFormat="1" applyFont="1" applyAlignment="1"/>
    <xf numFmtId="0" fontId="4" fillId="0" borderId="0" xfId="0" applyFont="1"/>
    <xf numFmtId="0" fontId="11" fillId="0" borderId="0" xfId="0" applyFont="1"/>
    <xf numFmtId="164" fontId="7" fillId="0" borderId="0" xfId="1" applyNumberFormat="1" applyFont="1" applyFill="1" applyBorder="1"/>
    <xf numFmtId="0" fontId="8" fillId="0" borderId="3" xfId="0" applyFont="1" applyBorder="1" applyAlignment="1">
      <alignment wrapText="1"/>
    </xf>
    <xf numFmtId="164" fontId="6" fillId="0" borderId="3" xfId="1" applyNumberFormat="1" applyFont="1" applyBorder="1"/>
    <xf numFmtId="0" fontId="1" fillId="0" borderId="3" xfId="0" applyFont="1" applyBorder="1" applyAlignment="1">
      <alignment wrapText="1"/>
    </xf>
    <xf numFmtId="0" fontId="3" fillId="0" borderId="0" xfId="0" applyFont="1"/>
    <xf numFmtId="164" fontId="3" fillId="0" borderId="0" xfId="1" applyNumberFormat="1" applyFont="1" applyFill="1" applyBorder="1"/>
    <xf numFmtId="0" fontId="4" fillId="5" borderId="0" xfId="0" applyFont="1" applyFill="1" applyAlignment="1">
      <alignment wrapText="1"/>
    </xf>
    <xf numFmtId="0" fontId="16" fillId="5" borderId="0" xfId="0" applyFont="1" applyFill="1" applyAlignment="1">
      <alignment wrapText="1"/>
    </xf>
    <xf numFmtId="164" fontId="6" fillId="5" borderId="0" xfId="1" applyNumberFormat="1" applyFont="1" applyFill="1" applyBorder="1"/>
    <xf numFmtId="164" fontId="1" fillId="5" borderId="0" xfId="1" applyNumberFormat="1" applyFont="1" applyFill="1" applyBorder="1"/>
    <xf numFmtId="0" fontId="6" fillId="5" borderId="0" xfId="1" applyNumberFormat="1" applyFont="1" applyFill="1" applyBorder="1"/>
    <xf numFmtId="0" fontId="6" fillId="5" borderId="0" xfId="0" applyFont="1" applyFill="1"/>
    <xf numFmtId="0" fontId="2" fillId="5" borderId="0" xfId="0" applyFont="1" applyFill="1"/>
    <xf numFmtId="0" fontId="0" fillId="5" borderId="0" xfId="0" applyFill="1"/>
    <xf numFmtId="0" fontId="2" fillId="5" borderId="3" xfId="0" applyFont="1" applyFill="1" applyBorder="1"/>
    <xf numFmtId="4" fontId="6" fillId="6" borderId="3" xfId="0" applyNumberFormat="1" applyFont="1" applyFill="1" applyBorder="1"/>
    <xf numFmtId="17" fontId="7" fillId="0" borderId="10" xfId="1" applyNumberFormat="1" applyFont="1" applyFill="1" applyBorder="1" applyAlignment="1">
      <alignment horizontal="center"/>
    </xf>
    <xf numFmtId="43" fontId="1" fillId="2" borderId="3" xfId="1" applyFont="1" applyFill="1" applyBorder="1"/>
    <xf numFmtId="0" fontId="8" fillId="0" borderId="9" xfId="0" applyFont="1" applyBorder="1" applyAlignment="1">
      <alignment wrapText="1"/>
    </xf>
    <xf numFmtId="4" fontId="17" fillId="0" borderId="22" xfId="0" applyNumberFormat="1" applyFont="1" applyBorder="1"/>
    <xf numFmtId="0" fontId="0" fillId="0" borderId="22" xfId="0" applyBorder="1"/>
    <xf numFmtId="0" fontId="2" fillId="0" borderId="22" xfId="0" applyFont="1" applyBorder="1"/>
    <xf numFmtId="0" fontId="6" fillId="0" borderId="3" xfId="0" applyFont="1" applyBorder="1" applyAlignment="1">
      <alignment wrapText="1"/>
    </xf>
    <xf numFmtId="0" fontId="8" fillId="0" borderId="10" xfId="0" applyFont="1" applyBorder="1" applyAlignment="1">
      <alignment wrapText="1"/>
    </xf>
    <xf numFmtId="43" fontId="7" fillId="2" borderId="10" xfId="1" applyFont="1" applyFill="1" applyBorder="1"/>
    <xf numFmtId="4" fontId="6" fillId="0" borderId="5" xfId="0" applyNumberFormat="1" applyFont="1" applyBorder="1"/>
    <xf numFmtId="4" fontId="2" fillId="0" borderId="5" xfId="0" applyNumberFormat="1" applyFont="1" applyBorder="1"/>
    <xf numFmtId="39" fontId="14" fillId="0" borderId="5" xfId="0" applyNumberFormat="1" applyFont="1" applyBorder="1"/>
    <xf numFmtId="39" fontId="14" fillId="0" borderId="1" xfId="0" applyNumberFormat="1" applyFont="1" applyBorder="1"/>
    <xf numFmtId="164" fontId="7" fillId="2" borderId="9" xfId="1" applyNumberFormat="1" applyFont="1" applyFill="1" applyBorder="1"/>
    <xf numFmtId="164" fontId="6" fillId="2" borderId="3" xfId="0" applyNumberFormat="1" applyFont="1" applyFill="1" applyBorder="1"/>
    <xf numFmtId="164" fontId="6" fillId="2" borderId="3" xfId="1" applyNumberFormat="1" applyFont="1" applyFill="1" applyBorder="1"/>
    <xf numFmtId="0" fontId="20" fillId="0" borderId="0" xfId="0" applyFont="1"/>
    <xf numFmtId="0" fontId="21" fillId="0" borderId="0" xfId="0" applyFont="1" applyAlignment="1">
      <alignment horizontal="center"/>
    </xf>
    <xf numFmtId="4" fontId="1" fillId="7" borderId="0" xfId="1" applyNumberFormat="1" applyFont="1" applyFill="1"/>
    <xf numFmtId="10" fontId="6" fillId="7" borderId="5" xfId="2" applyNumberFormat="1" applyFont="1" applyFill="1" applyBorder="1"/>
    <xf numFmtId="10" fontId="2" fillId="7" borderId="5" xfId="2" applyNumberFormat="1" applyFont="1" applyFill="1" applyBorder="1"/>
    <xf numFmtId="10" fontId="2" fillId="7" borderId="1" xfId="2" applyNumberFormat="1" applyFont="1" applyFill="1" applyBorder="1"/>
    <xf numFmtId="14" fontId="4" fillId="0" borderId="6" xfId="0" applyNumberFormat="1" applyFont="1" applyBorder="1" applyAlignment="1">
      <alignment wrapText="1"/>
    </xf>
    <xf numFmtId="43" fontId="0" fillId="0" borderId="0" xfId="0" applyNumberFormat="1"/>
    <xf numFmtId="0" fontId="2" fillId="4" borderId="3" xfId="0" applyFont="1" applyFill="1" applyBorder="1"/>
    <xf numFmtId="4" fontId="6" fillId="4" borderId="3" xfId="0" applyNumberFormat="1" applyFont="1" applyFill="1" applyBorder="1"/>
    <xf numFmtId="4" fontId="2" fillId="4" borderId="3" xfId="0" applyNumberFormat="1" applyFont="1" applyFill="1" applyBorder="1"/>
    <xf numFmtId="39" fontId="14" fillId="4" borderId="3" xfId="0" applyNumberFormat="1" applyFont="1" applyFill="1" applyBorder="1"/>
    <xf numFmtId="4" fontId="1" fillId="4" borderId="3" xfId="0" applyNumberFormat="1" applyFont="1" applyFill="1" applyBorder="1"/>
    <xf numFmtId="39" fontId="14" fillId="4" borderId="3" xfId="0" applyNumberFormat="1" applyFont="1" applyFill="1" applyBorder="1" applyAlignment="1">
      <alignment horizontal="right"/>
    </xf>
    <xf numFmtId="4" fontId="6" fillId="4" borderId="3" xfId="1" applyNumberFormat="1" applyFont="1" applyFill="1" applyBorder="1"/>
    <xf numFmtId="4" fontId="8" fillId="4" borderId="3" xfId="0" applyNumberFormat="1" applyFont="1" applyFill="1" applyBorder="1"/>
    <xf numFmtId="164" fontId="7" fillId="0" borderId="29" xfId="1" applyNumberFormat="1" applyFont="1" applyBorder="1" applyAlignment="1">
      <alignment horizontal="center"/>
    </xf>
    <xf numFmtId="17" fontId="7" fillId="0" borderId="25" xfId="1" applyNumberFormat="1" applyFont="1" applyFill="1" applyBorder="1" applyAlignment="1">
      <alignment horizontal="center"/>
    </xf>
    <xf numFmtId="164" fontId="7" fillId="2" borderId="27" xfId="1" applyNumberFormat="1" applyFont="1" applyFill="1" applyBorder="1" applyAlignment="1">
      <alignment horizontal="center"/>
    </xf>
    <xf numFmtId="164" fontId="7" fillId="2" borderId="26" xfId="1" applyNumberFormat="1" applyFont="1" applyFill="1" applyBorder="1" applyAlignment="1">
      <alignment horizontal="center"/>
    </xf>
    <xf numFmtId="164" fontId="6" fillId="3" borderId="14" xfId="1" applyNumberFormat="1" applyFont="1" applyFill="1" applyBorder="1"/>
    <xf numFmtId="164" fontId="6" fillId="3" borderId="15" xfId="1" applyNumberFormat="1" applyFont="1" applyFill="1" applyBorder="1"/>
    <xf numFmtId="164" fontId="7" fillId="2" borderId="27" xfId="1" applyNumberFormat="1" applyFont="1" applyFill="1" applyBorder="1"/>
    <xf numFmtId="164" fontId="7" fillId="2" borderId="26" xfId="1" applyNumberFormat="1" applyFont="1" applyFill="1" applyBorder="1"/>
    <xf numFmtId="164" fontId="7" fillId="2" borderId="30" xfId="1" applyNumberFormat="1" applyFont="1" applyFill="1" applyBorder="1"/>
    <xf numFmtId="164" fontId="7" fillId="2" borderId="18" xfId="1" applyNumberFormat="1" applyFont="1" applyFill="1" applyBorder="1"/>
    <xf numFmtId="0" fontId="18" fillId="0" borderId="0" xfId="0" applyFont="1"/>
    <xf numFmtId="43" fontId="6" fillId="0" borderId="3" xfId="1" applyFont="1" applyBorder="1"/>
    <xf numFmtId="43" fontId="2" fillId="0" borderId="3" xfId="1" applyFont="1" applyBorder="1"/>
    <xf numFmtId="164" fontId="2" fillId="0" borderId="3" xfId="1" applyNumberFormat="1" applyFont="1" applyBorder="1"/>
    <xf numFmtId="4" fontId="6" fillId="0" borderId="3" xfId="1" applyNumberFormat="1" applyFont="1" applyBorder="1"/>
    <xf numFmtId="4" fontId="2" fillId="0" borderId="3" xfId="1" applyNumberFormat="1" applyFont="1" applyBorder="1"/>
    <xf numFmtId="43" fontId="10" fillId="0" borderId="3" xfId="1" applyFont="1" applyBorder="1"/>
    <xf numFmtId="43" fontId="5" fillId="0" borderId="3" xfId="1" applyFont="1" applyBorder="1"/>
    <xf numFmtId="164" fontId="1" fillId="3" borderId="0" xfId="1" applyNumberFormat="1" applyFont="1" applyFill="1" applyBorder="1"/>
    <xf numFmtId="164" fontId="1" fillId="2" borderId="1" xfId="1" applyNumberFormat="1" applyFont="1" applyFill="1" applyBorder="1"/>
    <xf numFmtId="164" fontId="1" fillId="2" borderId="3" xfId="1" applyNumberFormat="1" applyFont="1" applyFill="1" applyBorder="1"/>
    <xf numFmtId="164" fontId="1" fillId="2" borderId="21" xfId="1" applyNumberFormat="1" applyFont="1" applyFill="1" applyBorder="1"/>
    <xf numFmtId="164" fontId="7" fillId="2" borderId="31" xfId="1" applyNumberFormat="1" applyFont="1" applyFill="1" applyBorder="1"/>
    <xf numFmtId="164" fontId="7" fillId="2" borderId="15" xfId="1" applyNumberFormat="1" applyFont="1" applyFill="1" applyBorder="1"/>
    <xf numFmtId="164" fontId="1" fillId="2" borderId="32" xfId="1" applyNumberFormat="1" applyFont="1" applyFill="1" applyBorder="1"/>
    <xf numFmtId="0" fontId="23" fillId="0" borderId="11" xfId="0" applyFont="1" applyBorder="1"/>
    <xf numFmtId="0" fontId="11" fillId="0" borderId="12" xfId="0" applyFont="1" applyBorder="1"/>
    <xf numFmtId="164" fontId="23" fillId="0" borderId="12" xfId="1" applyNumberFormat="1" applyFont="1" applyBorder="1" applyAlignment="1"/>
    <xf numFmtId="0" fontId="23" fillId="0" borderId="12" xfId="0" applyFont="1" applyBorder="1"/>
    <xf numFmtId="0" fontId="23" fillId="0" borderId="13" xfId="0" applyFont="1" applyBorder="1"/>
    <xf numFmtId="0" fontId="23" fillId="0" borderId="0" xfId="0" applyFont="1"/>
    <xf numFmtId="0" fontId="23" fillId="0" borderId="14" xfId="0" applyFont="1" applyBorder="1"/>
    <xf numFmtId="164" fontId="23" fillId="0" borderId="0" xfId="1" applyNumberFormat="1" applyFont="1" applyBorder="1" applyAlignment="1"/>
    <xf numFmtId="0" fontId="23" fillId="0" borderId="15" xfId="0" applyFont="1" applyBorder="1"/>
    <xf numFmtId="0" fontId="23" fillId="0" borderId="16" xfId="0" applyFont="1" applyBorder="1"/>
    <xf numFmtId="0" fontId="4" fillId="0" borderId="17" xfId="0" applyFont="1" applyBorder="1"/>
    <xf numFmtId="164" fontId="3" fillId="0" borderId="17" xfId="1" applyNumberFormat="1" applyFont="1" applyBorder="1" applyAlignment="1"/>
    <xf numFmtId="0" fontId="3" fillId="0" borderId="17" xfId="0" applyFont="1" applyBorder="1"/>
    <xf numFmtId="0" fontId="3" fillId="0" borderId="18" xfId="0" applyFont="1" applyBorder="1"/>
    <xf numFmtId="0" fontId="24" fillId="0" borderId="0" xfId="0" applyFont="1"/>
    <xf numFmtId="0" fontId="26" fillId="0" borderId="0" xfId="0" applyFont="1"/>
    <xf numFmtId="43" fontId="26" fillId="0" borderId="0" xfId="0" applyNumberFormat="1" applyFont="1"/>
    <xf numFmtId="0" fontId="25" fillId="0" borderId="0" xfId="0" applyFont="1" applyAlignment="1">
      <alignment horizontal="center" wrapText="1"/>
    </xf>
    <xf numFmtId="164" fontId="26" fillId="2" borderId="0" xfId="1" applyNumberFormat="1" applyFont="1" applyFill="1" applyBorder="1"/>
    <xf numFmtId="164" fontId="26" fillId="0" borderId="0" xfId="1" applyNumberFormat="1" applyFont="1" applyBorder="1"/>
    <xf numFmtId="4" fontId="7" fillId="0" borderId="10" xfId="1" applyNumberFormat="1" applyFont="1" applyFill="1" applyBorder="1"/>
    <xf numFmtId="4" fontId="7" fillId="0" borderId="10" xfId="1" applyNumberFormat="1" applyFont="1" applyBorder="1"/>
    <xf numFmtId="164" fontId="7" fillId="0" borderId="32" xfId="1" applyNumberFormat="1" applyFont="1" applyBorder="1"/>
    <xf numFmtId="164" fontId="7" fillId="0" borderId="32" xfId="1" applyNumberFormat="1" applyFont="1" applyFill="1" applyBorder="1"/>
    <xf numFmtId="164" fontId="3" fillId="0" borderId="32" xfId="1" applyNumberFormat="1" applyFont="1" applyBorder="1"/>
    <xf numFmtId="164" fontId="3" fillId="0" borderId="15" xfId="1" applyNumberFormat="1" applyFont="1" applyBorder="1"/>
    <xf numFmtId="4" fontId="7" fillId="0" borderId="33" xfId="1" applyNumberFormat="1" applyFont="1" applyFill="1" applyBorder="1"/>
    <xf numFmtId="164" fontId="7" fillId="0" borderId="2" xfId="1" applyNumberFormat="1" applyFont="1" applyBorder="1" applyAlignment="1">
      <alignment horizontal="center"/>
    </xf>
    <xf numFmtId="164" fontId="3" fillId="0" borderId="2" xfId="1" applyNumberFormat="1" applyFont="1" applyBorder="1" applyAlignment="1">
      <alignment horizontal="center"/>
    </xf>
    <xf numFmtId="164" fontId="3" fillId="0" borderId="34" xfId="1" applyNumberFormat="1" applyFont="1" applyBorder="1" applyAlignment="1">
      <alignment horizontal="center"/>
    </xf>
    <xf numFmtId="43" fontId="7" fillId="0" borderId="1" xfId="1" applyFont="1" applyBorder="1"/>
    <xf numFmtId="164" fontId="6" fillId="0" borderId="1" xfId="1" applyNumberFormat="1" applyFont="1" applyBorder="1"/>
    <xf numFmtId="4" fontId="6" fillId="0" borderId="1" xfId="1" applyNumberFormat="1" applyFont="1" applyBorder="1"/>
    <xf numFmtId="164" fontId="6" fillId="0" borderId="3" xfId="1" applyNumberFormat="1" applyFont="1" applyFill="1" applyBorder="1"/>
    <xf numFmtId="0" fontId="6" fillId="0" borderId="3" xfId="0" applyFont="1" applyBorder="1" applyAlignment="1">
      <alignment horizontal="left" wrapText="1"/>
    </xf>
    <xf numFmtId="0" fontId="4" fillId="0" borderId="19" xfId="0" applyFont="1" applyBorder="1" applyAlignment="1">
      <alignment wrapText="1"/>
    </xf>
    <xf numFmtId="0" fontId="6" fillId="0" borderId="20" xfId="0" applyFont="1" applyBorder="1" applyAlignment="1">
      <alignment wrapText="1"/>
    </xf>
    <xf numFmtId="164" fontId="7" fillId="0" borderId="20" xfId="1" applyNumberFormat="1" applyFont="1" applyFill="1" applyBorder="1"/>
    <xf numFmtId="164" fontId="7" fillId="0" borderId="25" xfId="1" applyNumberFormat="1" applyFont="1" applyFill="1" applyBorder="1"/>
    <xf numFmtId="0" fontId="6" fillId="0" borderId="27" xfId="0" applyFont="1" applyBorder="1" applyAlignment="1">
      <alignment wrapText="1"/>
    </xf>
    <xf numFmtId="164" fontId="6" fillId="0" borderId="26" xfId="1" applyNumberFormat="1" applyFont="1" applyFill="1" applyBorder="1"/>
    <xf numFmtId="0" fontId="8" fillId="0" borderId="27" xfId="0" applyFont="1" applyBorder="1" applyAlignment="1">
      <alignment wrapText="1"/>
    </xf>
    <xf numFmtId="2" fontId="6" fillId="0" borderId="26" xfId="0" applyNumberFormat="1" applyFont="1" applyBorder="1"/>
    <xf numFmtId="0" fontId="1" fillId="0" borderId="27" xfId="0" applyFont="1" applyBorder="1" applyAlignment="1">
      <alignment wrapText="1"/>
    </xf>
    <xf numFmtId="14" fontId="4" fillId="0" borderId="11" xfId="0" applyNumberFormat="1" applyFont="1" applyBorder="1" applyAlignment="1">
      <alignment wrapText="1"/>
    </xf>
    <xf numFmtId="164" fontId="6" fillId="0" borderId="12" xfId="0" applyNumberFormat="1" applyFont="1" applyBorder="1" applyAlignment="1">
      <alignment wrapText="1"/>
    </xf>
    <xf numFmtId="164" fontId="7" fillId="2" borderId="35" xfId="1" applyNumberFormat="1" applyFont="1" applyFill="1" applyBorder="1" applyAlignment="1">
      <alignment horizontal="center"/>
    </xf>
    <xf numFmtId="164" fontId="7" fillId="2" borderId="36" xfId="1" applyNumberFormat="1" applyFont="1" applyFill="1" applyBorder="1" applyAlignment="1">
      <alignment horizontal="center"/>
    </xf>
    <xf numFmtId="164" fontId="6" fillId="2" borderId="37" xfId="1" applyNumberFormat="1" applyFont="1" applyFill="1" applyBorder="1"/>
    <xf numFmtId="0" fontId="1" fillId="0" borderId="38" xfId="0" applyFont="1" applyBorder="1" applyAlignment="1">
      <alignment wrapText="1"/>
    </xf>
    <xf numFmtId="164" fontId="7" fillId="4" borderId="26" xfId="0" applyNumberFormat="1" applyFont="1" applyFill="1" applyBorder="1"/>
    <xf numFmtId="164" fontId="7" fillId="4" borderId="26" xfId="1" applyNumberFormat="1" applyFont="1" applyFill="1" applyBorder="1"/>
    <xf numFmtId="0" fontId="1" fillId="0" borderId="39" xfId="0" applyFont="1" applyBorder="1" applyAlignment="1">
      <alignment wrapText="1"/>
    </xf>
    <xf numFmtId="164" fontId="7" fillId="4" borderId="40" xfId="1" applyNumberFormat="1" applyFont="1" applyFill="1" applyBorder="1"/>
    <xf numFmtId="14" fontId="4" fillId="0" borderId="10" xfId="0" applyNumberFormat="1" applyFont="1" applyBorder="1" applyAlignment="1">
      <alignment wrapText="1"/>
    </xf>
    <xf numFmtId="20" fontId="4" fillId="0" borderId="10" xfId="0" applyNumberFormat="1" applyFont="1" applyBorder="1" applyAlignment="1">
      <alignment wrapText="1"/>
    </xf>
    <xf numFmtId="20" fontId="4" fillId="0" borderId="12" xfId="0" applyNumberFormat="1" applyFont="1" applyBorder="1" applyAlignment="1">
      <alignment wrapText="1"/>
    </xf>
    <xf numFmtId="164" fontId="7" fillId="0" borderId="35" xfId="1" applyNumberFormat="1" applyFont="1" applyFill="1" applyBorder="1" applyAlignment="1">
      <alignment horizontal="center"/>
    </xf>
    <xf numFmtId="17" fontId="7" fillId="0" borderId="36" xfId="1" applyNumberFormat="1" applyFont="1" applyFill="1" applyBorder="1" applyAlignment="1">
      <alignment horizontal="center"/>
    </xf>
    <xf numFmtId="0" fontId="1" fillId="0" borderId="27" xfId="0" applyFont="1" applyBorder="1" applyAlignment="1">
      <alignment horizontal="left" wrapText="1"/>
    </xf>
    <xf numFmtId="43" fontId="7" fillId="4" borderId="26" xfId="1" applyFont="1" applyFill="1" applyBorder="1"/>
    <xf numFmtId="43" fontId="1" fillId="4" borderId="26" xfId="1" applyFont="1" applyFill="1" applyBorder="1"/>
    <xf numFmtId="0" fontId="1" fillId="0" borderId="41" xfId="0" applyFont="1" applyBorder="1" applyAlignment="1">
      <alignment horizontal="left" wrapText="1"/>
    </xf>
    <xf numFmtId="43" fontId="7" fillId="4" borderId="42" xfId="1" applyFont="1" applyFill="1" applyBorder="1"/>
    <xf numFmtId="0" fontId="8" fillId="0" borderId="33" xfId="0" applyFont="1" applyBorder="1" applyAlignment="1">
      <alignment wrapText="1"/>
    </xf>
    <xf numFmtId="43" fontId="7" fillId="0" borderId="10" xfId="1" applyFont="1" applyFill="1" applyBorder="1"/>
    <xf numFmtId="0" fontId="4" fillId="5" borderId="7" xfId="0" applyFont="1" applyFill="1" applyBorder="1" applyAlignment="1">
      <alignment wrapText="1"/>
    </xf>
    <xf numFmtId="164" fontId="7" fillId="2" borderId="8" xfId="1" applyNumberFormat="1" applyFont="1" applyFill="1" applyBorder="1"/>
    <xf numFmtId="14" fontId="4" fillId="0" borderId="29" xfId="0" applyNumberFormat="1" applyFont="1" applyBorder="1" applyAlignment="1">
      <alignment wrapText="1"/>
    </xf>
    <xf numFmtId="0" fontId="6" fillId="0" borderId="43" xfId="0" applyFont="1" applyBorder="1" applyAlignment="1">
      <alignment wrapText="1"/>
    </xf>
    <xf numFmtId="0" fontId="8" fillId="0" borderId="44" xfId="0" applyFont="1" applyBorder="1" applyAlignment="1">
      <alignment wrapText="1"/>
    </xf>
    <xf numFmtId="0" fontId="4" fillId="5" borderId="16" xfId="0" applyFont="1" applyFill="1" applyBorder="1" applyAlignment="1">
      <alignment wrapText="1"/>
    </xf>
    <xf numFmtId="0" fontId="4" fillId="5" borderId="45" xfId="0" applyFont="1" applyFill="1" applyBorder="1" applyAlignment="1">
      <alignment wrapText="1"/>
    </xf>
    <xf numFmtId="164" fontId="7" fillId="2" borderId="46" xfId="1" applyNumberFormat="1" applyFont="1" applyFill="1" applyBorder="1"/>
    <xf numFmtId="164" fontId="7" fillId="0" borderId="47" xfId="1" applyNumberFormat="1" applyFont="1" applyBorder="1"/>
    <xf numFmtId="0" fontId="1" fillId="0" borderId="16" xfId="0" applyFont="1" applyBorder="1" applyAlignment="1">
      <alignment wrapText="1"/>
    </xf>
    <xf numFmtId="0" fontId="6" fillId="0" borderId="28" xfId="0" applyFont="1" applyBorder="1" applyAlignment="1">
      <alignment wrapText="1"/>
    </xf>
    <xf numFmtId="164" fontId="6" fillId="2" borderId="46" xfId="1" applyNumberFormat="1" applyFont="1" applyFill="1" applyBorder="1"/>
    <xf numFmtId="164" fontId="7" fillId="4" borderId="47" xfId="1" applyNumberFormat="1" applyFont="1" applyFill="1" applyBorder="1"/>
    <xf numFmtId="0" fontId="4" fillId="5" borderId="23" xfId="0" applyFont="1" applyFill="1" applyBorder="1" applyAlignment="1">
      <alignment wrapText="1"/>
    </xf>
    <xf numFmtId="0" fontId="4" fillId="5" borderId="48" xfId="0" applyFont="1" applyFill="1" applyBorder="1" applyAlignment="1">
      <alignment wrapText="1"/>
    </xf>
    <xf numFmtId="164" fontId="7" fillId="2" borderId="49" xfId="1" applyNumberFormat="1" applyFont="1" applyFill="1" applyBorder="1"/>
    <xf numFmtId="164" fontId="7" fillId="2" borderId="24" xfId="1" applyNumberFormat="1" applyFont="1" applyFill="1" applyBorder="1"/>
    <xf numFmtId="43" fontId="7" fillId="0" borderId="49" xfId="1" applyFont="1" applyFill="1" applyBorder="1"/>
    <xf numFmtId="43" fontId="7" fillId="2" borderId="50" xfId="1" applyFont="1" applyFill="1" applyBorder="1"/>
    <xf numFmtId="0" fontId="4" fillId="5" borderId="14" xfId="0" applyFont="1" applyFill="1" applyBorder="1" applyAlignment="1">
      <alignment wrapText="1"/>
    </xf>
    <xf numFmtId="164" fontId="7" fillId="0" borderId="37" xfId="1" applyNumberFormat="1" applyFont="1" applyBorder="1"/>
    <xf numFmtId="0" fontId="1" fillId="8" borderId="27" xfId="0" applyFont="1" applyFill="1" applyBorder="1" applyAlignment="1">
      <alignment horizontal="left" wrapText="1"/>
    </xf>
    <xf numFmtId="0" fontId="8" fillId="8" borderId="3" xfId="0" applyFont="1" applyFill="1" applyBorder="1" applyAlignment="1">
      <alignment wrapText="1"/>
    </xf>
    <xf numFmtId="4" fontId="1" fillId="8" borderId="3" xfId="0" applyNumberFormat="1" applyFont="1" applyFill="1" applyBorder="1"/>
    <xf numFmtId="43" fontId="7" fillId="8" borderId="3" xfId="1" applyFont="1" applyFill="1" applyBorder="1"/>
    <xf numFmtId="43" fontId="7" fillId="8" borderId="26" xfId="1" applyFont="1" applyFill="1" applyBorder="1"/>
    <xf numFmtId="0" fontId="4" fillId="4" borderId="5" xfId="0" applyFont="1" applyFill="1" applyBorder="1" applyAlignment="1">
      <alignment horizontal="center"/>
    </xf>
    <xf numFmtId="0" fontId="4" fillId="9" borderId="5" xfId="0" applyFont="1" applyFill="1" applyBorder="1" applyAlignment="1">
      <alignment horizontal="center"/>
    </xf>
    <xf numFmtId="4" fontId="1" fillId="9" borderId="3" xfId="0" applyNumberFormat="1" applyFont="1" applyFill="1" applyBorder="1"/>
    <xf numFmtId="4" fontId="9" fillId="9" borderId="1" xfId="1" applyNumberFormat="1" applyFont="1" applyFill="1" applyBorder="1"/>
    <xf numFmtId="4" fontId="2" fillId="9" borderId="3" xfId="0" applyNumberFormat="1" applyFont="1" applyFill="1" applyBorder="1"/>
    <xf numFmtId="4" fontId="8" fillId="9" borderId="1" xfId="0" applyNumberFormat="1" applyFont="1" applyFill="1" applyBorder="1"/>
    <xf numFmtId="4" fontId="6" fillId="9" borderId="1" xfId="1" applyNumberFormat="1" applyFont="1" applyFill="1" applyBorder="1"/>
    <xf numFmtId="4" fontId="7" fillId="9" borderId="33" xfId="1" applyNumberFormat="1" applyFont="1" applyFill="1" applyBorder="1"/>
    <xf numFmtId="4" fontId="2" fillId="9" borderId="1" xfId="0" applyNumberFormat="1" applyFont="1" applyFill="1" applyBorder="1"/>
  </cellXfs>
  <cellStyles count="4">
    <cellStyle name="Comma" xfId="1" builtinId="3"/>
    <cellStyle name="Normal" xfId="0" builtinId="0"/>
    <cellStyle name="Percent" xfId="2" builtinId="5"/>
    <cellStyle name="Percent 2" xfId="3" xr:uid="{15A1AF81-ACED-49D9-9BDB-85CAFF2A4CD4}"/>
  </cellStyles>
  <dxfs count="3">
    <dxf>
      <font>
        <color rgb="FFFF0000"/>
      </font>
    </dxf>
    <dxf>
      <font>
        <color rgb="FFFF0000"/>
      </font>
    </dxf>
    <dxf>
      <font>
        <color rgb="FF9C0006"/>
      </font>
      <fill>
        <patternFill>
          <bgColor rgb="FFFFC7CE"/>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Budget</a:t>
            </a:r>
            <a:r>
              <a:rPr lang="en-US" baseline="0"/>
              <a:t> to Actual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Summary!$B$3:$B$4</c:f>
              <c:strCache>
                <c:ptCount val="2"/>
                <c:pt idx="0">
                  <c:v> Original Budget </c:v>
                </c:pt>
                <c:pt idx="1">
                  <c:v> Annual Amt. </c:v>
                </c:pt>
              </c:strCache>
            </c:strRef>
          </c:tx>
          <c:spPr>
            <a:solidFill>
              <a:schemeClr val="accent1"/>
            </a:solidFill>
            <a:ln>
              <a:noFill/>
            </a:ln>
            <a:effectLst/>
          </c:spPr>
          <c:invertIfNegative val="0"/>
          <c:cat>
            <c:strRef>
              <c:extLst>
                <c:ext xmlns:c15="http://schemas.microsoft.com/office/drawing/2012/chart" uri="{02D57815-91ED-43cb-92C2-25804820EDAC}">
                  <c15:fullRef>
                    <c15:sqref>Summary!$A$5:$A$9</c15:sqref>
                  </c15:fullRef>
                </c:ext>
              </c:extLst>
              <c:f>(Summary!$A$6:$A$7,Summary!$A$9)</c:f>
              <c:strCache>
                <c:ptCount val="3"/>
                <c:pt idx="0">
                  <c:v>Total Revenues</c:v>
                </c:pt>
                <c:pt idx="1">
                  <c:v>Total Expenditures  </c:v>
                </c:pt>
                <c:pt idx="2">
                  <c:v>Projected Ending Fund Balance </c:v>
                </c:pt>
              </c:strCache>
            </c:strRef>
          </c:cat>
          <c:val>
            <c:numRef>
              <c:extLst>
                <c:ext xmlns:c15="http://schemas.microsoft.com/office/drawing/2012/chart" uri="{02D57815-91ED-43cb-92C2-25804820EDAC}">
                  <c15:fullRef>
                    <c15:sqref>Summary!$B$5:$B$9</c15:sqref>
                  </c15:fullRef>
                </c:ext>
              </c:extLst>
              <c:f>(Summary!$B$6:$B$7,Summary!$B$9)</c:f>
              <c:numCache>
                <c:formatCode>_(* #,##0_);_(* \(#,##0\);_(* "-"??_);_(@_)</c:formatCode>
                <c:ptCount val="3"/>
                <c:pt idx="0">
                  <c:v>2544227</c:v>
                </c:pt>
                <c:pt idx="1">
                  <c:v>2761587</c:v>
                </c:pt>
                <c:pt idx="2">
                  <c:v>233640</c:v>
                </c:pt>
              </c:numCache>
            </c:numRef>
          </c:val>
          <c:extLst>
            <c:ext xmlns:c16="http://schemas.microsoft.com/office/drawing/2014/chart" uri="{C3380CC4-5D6E-409C-BE32-E72D297353CC}">
              <c16:uniqueId val="{00000000-9CD6-4B2D-B3C4-D045C0CBAAAD}"/>
            </c:ext>
          </c:extLst>
        </c:ser>
        <c:ser>
          <c:idx val="1"/>
          <c:order val="1"/>
          <c:tx>
            <c:strRef>
              <c:f>Summary!$C$3:$C$4</c:f>
              <c:strCache>
                <c:ptCount val="2"/>
                <c:pt idx="0">
                  <c:v>Current</c:v>
                </c:pt>
                <c:pt idx="1">
                  <c:v> Annual Projection </c:v>
                </c:pt>
              </c:strCache>
            </c:strRef>
          </c:tx>
          <c:spPr>
            <a:solidFill>
              <a:schemeClr val="accent3"/>
            </a:solidFill>
            <a:ln>
              <a:noFill/>
            </a:ln>
            <a:effectLst/>
          </c:spPr>
          <c:invertIfNegative val="0"/>
          <c:cat>
            <c:strRef>
              <c:extLst>
                <c:ext xmlns:c15="http://schemas.microsoft.com/office/drawing/2012/chart" uri="{02D57815-91ED-43cb-92C2-25804820EDAC}">
                  <c15:fullRef>
                    <c15:sqref>Summary!$A$5:$A$9</c15:sqref>
                  </c15:fullRef>
                </c:ext>
              </c:extLst>
              <c:f>(Summary!$A$6:$A$7,Summary!$A$9)</c:f>
              <c:strCache>
                <c:ptCount val="3"/>
                <c:pt idx="0">
                  <c:v>Total Revenues</c:v>
                </c:pt>
                <c:pt idx="1">
                  <c:v>Total Expenditures  </c:v>
                </c:pt>
                <c:pt idx="2">
                  <c:v>Projected Ending Fund Balance </c:v>
                </c:pt>
              </c:strCache>
            </c:strRef>
          </c:cat>
          <c:val>
            <c:numRef>
              <c:extLst>
                <c:ext xmlns:c15="http://schemas.microsoft.com/office/drawing/2012/chart" uri="{02D57815-91ED-43cb-92C2-25804820EDAC}">
                  <c15:fullRef>
                    <c15:sqref>Summary!$C$5:$C$9</c15:sqref>
                  </c15:fullRef>
                </c:ext>
              </c:extLst>
              <c:f>(Summary!$C$6:$C$7,Summary!$C$9)</c:f>
              <c:numCache>
                <c:formatCode>_(* #,##0_);_(* \(#,##0\);_(* "-"??_);_(@_)</c:formatCode>
                <c:ptCount val="3"/>
                <c:pt idx="0">
                  <c:v>2551627.5700000003</c:v>
                </c:pt>
                <c:pt idx="1">
                  <c:v>2761587</c:v>
                </c:pt>
                <c:pt idx="2">
                  <c:v>350183.5700000003</c:v>
                </c:pt>
              </c:numCache>
            </c:numRef>
          </c:val>
          <c:extLst>
            <c:ext xmlns:c16="http://schemas.microsoft.com/office/drawing/2014/chart" uri="{C3380CC4-5D6E-409C-BE32-E72D297353CC}">
              <c16:uniqueId val="{00000001-9CD6-4B2D-B3C4-D045C0CBAAAD}"/>
            </c:ext>
          </c:extLst>
        </c:ser>
        <c:dLbls>
          <c:showLegendKey val="0"/>
          <c:showVal val="0"/>
          <c:showCatName val="0"/>
          <c:showSerName val="0"/>
          <c:showPercent val="0"/>
          <c:showBubbleSize val="0"/>
        </c:dLbls>
        <c:gapWidth val="219"/>
        <c:overlap val="-27"/>
        <c:axId val="39433872"/>
        <c:axId val="42816304"/>
      </c:barChart>
      <c:catAx>
        <c:axId val="39433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816304"/>
        <c:crosses val="autoZero"/>
        <c:auto val="1"/>
        <c:lblAlgn val="ctr"/>
        <c:lblOffset val="100"/>
        <c:noMultiLvlLbl val="0"/>
      </c:catAx>
      <c:valAx>
        <c:axId val="4281630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433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Revenue</a:t>
            </a:r>
            <a:r>
              <a:rPr lang="en-US" baseline="0"/>
              <a:t> to Expenditure by Month</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1"/>
          <c:tx>
            <c:strRef>
              <c:f>Summary!$A$6</c:f>
              <c:strCache>
                <c:ptCount val="1"/>
                <c:pt idx="0">
                  <c:v>Total Revenues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xmlns:c15="http://schemas.microsoft.com/office/drawing/2012/chart" uri="{02D57815-91ED-43cb-92C2-25804820EDAC}">
                  <c15:fullRef>
                    <c15:sqref>Summary!$B$3:$O$4</c15:sqref>
                  </c15:fullRef>
                  <c15:levelRef>
                    <c15:sqref>Summary!$B$3:$O$3</c15:sqref>
                  </c15:levelRef>
                </c:ext>
              </c:extLst>
              <c:f>Summary!$D$3:$O$3</c:f>
              <c:strCache>
                <c:ptCount val="12"/>
                <c:pt idx="0">
                  <c:v> September </c:v>
                </c:pt>
                <c:pt idx="1">
                  <c:v> October </c:v>
                </c:pt>
                <c:pt idx="2">
                  <c:v> November  </c:v>
                </c:pt>
                <c:pt idx="3">
                  <c:v> December  </c:v>
                </c:pt>
                <c:pt idx="4">
                  <c:v>January </c:v>
                </c:pt>
                <c:pt idx="5">
                  <c:v>February</c:v>
                </c:pt>
                <c:pt idx="6">
                  <c:v>March </c:v>
                </c:pt>
                <c:pt idx="7">
                  <c:v>April </c:v>
                </c:pt>
                <c:pt idx="8">
                  <c:v>May</c:v>
                </c:pt>
                <c:pt idx="9">
                  <c:v>June</c:v>
                </c:pt>
                <c:pt idx="10">
                  <c:v>July </c:v>
                </c:pt>
                <c:pt idx="11">
                  <c:v>August </c:v>
                </c:pt>
              </c:strCache>
            </c:strRef>
          </c:cat>
          <c:val>
            <c:numRef>
              <c:extLst>
                <c:ext xmlns:c15="http://schemas.microsoft.com/office/drawing/2012/chart" uri="{02D57815-91ED-43cb-92C2-25804820EDAC}">
                  <c15:fullRef>
                    <c15:sqref>Summary!$B$6:$O$6</c15:sqref>
                  </c15:fullRef>
                </c:ext>
              </c:extLst>
              <c:f>Summary!$D$6:$O$6</c:f>
              <c:numCache>
                <c:formatCode>_(* #,##0_);_(* \(#,##0\);_(* "-"??_);_(@_)</c:formatCode>
                <c:ptCount val="12"/>
                <c:pt idx="0">
                  <c:v>228164.88</c:v>
                </c:pt>
                <c:pt idx="1">
                  <c:v>203837.05025454552</c:v>
                </c:pt>
                <c:pt idx="2">
                  <c:v>130007.84345454542</c:v>
                </c:pt>
                <c:pt idx="3">
                  <c:v>228446.78585454554</c:v>
                </c:pt>
                <c:pt idx="4">
                  <c:v>216141.91805454553</c:v>
                </c:pt>
                <c:pt idx="5">
                  <c:v>228446.78585454554</c:v>
                </c:pt>
                <c:pt idx="6">
                  <c:v>228446.78585454554</c:v>
                </c:pt>
                <c:pt idx="7">
                  <c:v>228446.78585454554</c:v>
                </c:pt>
                <c:pt idx="8">
                  <c:v>130007.84345454542</c:v>
                </c:pt>
                <c:pt idx="9">
                  <c:v>154617.57905454549</c:v>
                </c:pt>
                <c:pt idx="10">
                  <c:v>314580.86045454553</c:v>
                </c:pt>
                <c:pt idx="11">
                  <c:v>260482.45185454542</c:v>
                </c:pt>
              </c:numCache>
            </c:numRef>
          </c:val>
          <c:smooth val="0"/>
          <c:extLst>
            <c:ext xmlns:c16="http://schemas.microsoft.com/office/drawing/2014/chart" uri="{C3380CC4-5D6E-409C-BE32-E72D297353CC}">
              <c16:uniqueId val="{00000001-A0BE-4479-9FC5-E497F05AC074}"/>
            </c:ext>
          </c:extLst>
        </c:ser>
        <c:ser>
          <c:idx val="2"/>
          <c:order val="2"/>
          <c:tx>
            <c:strRef>
              <c:f>Summary!$A$7</c:f>
              <c:strCache>
                <c:ptCount val="1"/>
                <c:pt idx="0">
                  <c:v>Total Expenditures  </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extLst>
                <c:ext xmlns:c15="http://schemas.microsoft.com/office/drawing/2012/chart" uri="{02D57815-91ED-43cb-92C2-25804820EDAC}">
                  <c15:fullRef>
                    <c15:sqref>Summary!$B$3:$O$4</c15:sqref>
                  </c15:fullRef>
                  <c15:levelRef>
                    <c15:sqref>Summary!$B$3:$O$3</c15:sqref>
                  </c15:levelRef>
                </c:ext>
              </c:extLst>
              <c:f>Summary!$D$3:$O$3</c:f>
              <c:strCache>
                <c:ptCount val="12"/>
                <c:pt idx="0">
                  <c:v> September </c:v>
                </c:pt>
                <c:pt idx="1">
                  <c:v> October </c:v>
                </c:pt>
                <c:pt idx="2">
                  <c:v> November  </c:v>
                </c:pt>
                <c:pt idx="3">
                  <c:v> December  </c:v>
                </c:pt>
                <c:pt idx="4">
                  <c:v>January </c:v>
                </c:pt>
                <c:pt idx="5">
                  <c:v>February</c:v>
                </c:pt>
                <c:pt idx="6">
                  <c:v>March </c:v>
                </c:pt>
                <c:pt idx="7">
                  <c:v>April </c:v>
                </c:pt>
                <c:pt idx="8">
                  <c:v>May</c:v>
                </c:pt>
                <c:pt idx="9">
                  <c:v>June</c:v>
                </c:pt>
                <c:pt idx="10">
                  <c:v>July </c:v>
                </c:pt>
                <c:pt idx="11">
                  <c:v>August </c:v>
                </c:pt>
              </c:strCache>
            </c:strRef>
          </c:cat>
          <c:val>
            <c:numRef>
              <c:extLst>
                <c:ext xmlns:c15="http://schemas.microsoft.com/office/drawing/2012/chart" uri="{02D57815-91ED-43cb-92C2-25804820EDAC}">
                  <c15:fullRef>
                    <c15:sqref>Summary!$B$7:$O$7</c15:sqref>
                  </c15:fullRef>
                </c:ext>
              </c:extLst>
              <c:f>Summary!$D$7:$O$7</c:f>
              <c:numCache>
                <c:formatCode>_(* #,##0_);_(* \(#,##0\);_(* "-"??_);_(@_)</c:formatCode>
                <c:ptCount val="12"/>
                <c:pt idx="0">
                  <c:v>264934.42</c:v>
                </c:pt>
                <c:pt idx="1">
                  <c:v>229882.25000000003</c:v>
                </c:pt>
                <c:pt idx="2">
                  <c:v>229882.25000000003</c:v>
                </c:pt>
                <c:pt idx="3">
                  <c:v>225987.56444444443</c:v>
                </c:pt>
                <c:pt idx="4">
                  <c:v>225987.56444444443</c:v>
                </c:pt>
                <c:pt idx="5">
                  <c:v>225987.56444444443</c:v>
                </c:pt>
                <c:pt idx="6">
                  <c:v>225987.56444444443</c:v>
                </c:pt>
                <c:pt idx="7">
                  <c:v>225987.5644444444</c:v>
                </c:pt>
                <c:pt idx="8">
                  <c:v>225987.5644444444</c:v>
                </c:pt>
                <c:pt idx="9">
                  <c:v>225987.56444444443</c:v>
                </c:pt>
                <c:pt idx="10">
                  <c:v>225987.56444444449</c:v>
                </c:pt>
                <c:pt idx="11">
                  <c:v>228987.56444444461</c:v>
                </c:pt>
              </c:numCache>
            </c:numRef>
          </c:val>
          <c:smooth val="0"/>
          <c:extLst>
            <c:ext xmlns:c16="http://schemas.microsoft.com/office/drawing/2014/chart" uri="{C3380CC4-5D6E-409C-BE32-E72D297353CC}">
              <c16:uniqueId val="{00000002-A0BE-4479-9FC5-E497F05AC074}"/>
            </c:ext>
          </c:extLst>
        </c:ser>
        <c:dLbls>
          <c:showLegendKey val="0"/>
          <c:showVal val="0"/>
          <c:showCatName val="0"/>
          <c:showSerName val="0"/>
          <c:showPercent val="0"/>
          <c:showBubbleSize val="0"/>
        </c:dLbls>
        <c:marker val="1"/>
        <c:smooth val="0"/>
        <c:axId val="175762752"/>
        <c:axId val="175432928"/>
        <c:extLst>
          <c:ext xmlns:c15="http://schemas.microsoft.com/office/drawing/2012/chart" uri="{02D57815-91ED-43cb-92C2-25804820EDAC}">
            <c15:filteredLineSeries>
              <c15:ser>
                <c:idx val="0"/>
                <c:order val="0"/>
                <c:tx>
                  <c:strRef>
                    <c:extLst>
                      <c:ext uri="{02D57815-91ED-43cb-92C2-25804820EDAC}">
                        <c15:formulaRef>
                          <c15:sqref>Summary!$A$5</c15:sqref>
                        </c15:formulaRef>
                      </c:ext>
                    </c:extLst>
                    <c:strCache>
                      <c:ptCount val="1"/>
                      <c:pt idx="0">
                        <c:v>ENROLLMENT</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uri="{02D57815-91ED-43cb-92C2-25804820EDAC}">
                        <c15:fullRef>
                          <c15:sqref>Summary!$B$3:$O$4</c15:sqref>
                        </c15:fullRef>
                        <c15:levelRef>
                          <c15:sqref>Summary!$B$3:$O$3</c15:sqref>
                        </c15:levelRef>
                        <c15:formulaRef>
                          <c15:sqref>Summary!$D$3:$O$3</c15:sqref>
                        </c15:formulaRef>
                      </c:ext>
                    </c:extLst>
                    <c:strCache>
                      <c:ptCount val="12"/>
                      <c:pt idx="0">
                        <c:v> September </c:v>
                      </c:pt>
                      <c:pt idx="1">
                        <c:v> October </c:v>
                      </c:pt>
                      <c:pt idx="2">
                        <c:v> November  </c:v>
                      </c:pt>
                      <c:pt idx="3">
                        <c:v> December  </c:v>
                      </c:pt>
                      <c:pt idx="4">
                        <c:v>January </c:v>
                      </c:pt>
                      <c:pt idx="5">
                        <c:v>February</c:v>
                      </c:pt>
                      <c:pt idx="6">
                        <c:v>March </c:v>
                      </c:pt>
                      <c:pt idx="7">
                        <c:v>April </c:v>
                      </c:pt>
                      <c:pt idx="8">
                        <c:v>May</c:v>
                      </c:pt>
                      <c:pt idx="9">
                        <c:v>June</c:v>
                      </c:pt>
                      <c:pt idx="10">
                        <c:v>July </c:v>
                      </c:pt>
                      <c:pt idx="11">
                        <c:v>August </c:v>
                      </c:pt>
                    </c:strCache>
                  </c:strRef>
                </c:cat>
                <c:val>
                  <c:numRef>
                    <c:extLst>
                      <c:ext uri="{02D57815-91ED-43cb-92C2-25804820EDAC}">
                        <c15:fullRef>
                          <c15:sqref>Summary!$B$5:$O$5</c15:sqref>
                        </c15:fullRef>
                        <c15:formulaRef>
                          <c15:sqref>Summary!$D$5:$O$5</c15:sqref>
                        </c15:formulaRef>
                      </c:ext>
                    </c:extLst>
                    <c:numCache>
                      <c:formatCode>_(* #,##0_);_(* \(#,##0\);_(* "-"??_);_(@_)</c:formatCode>
                      <c:ptCount val="12"/>
                      <c:pt idx="0">
                        <c:v>48.75</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A0BE-4479-9FC5-E497F05AC074}"/>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Summary!$A$9</c15:sqref>
                        </c15:formulaRef>
                      </c:ext>
                    </c:extLst>
                    <c:strCache>
                      <c:ptCount val="1"/>
                      <c:pt idx="0">
                        <c:v>Projected Ending Fund Balance </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strRef>
                    <c:extLst>
                      <c:ext xmlns:c15="http://schemas.microsoft.com/office/drawing/2012/chart" uri="{02D57815-91ED-43cb-92C2-25804820EDAC}">
                        <c15:fullRef>
                          <c15:sqref>Summary!$B$3:$O$4</c15:sqref>
                        </c15:fullRef>
                        <c15:levelRef>
                          <c15:sqref>Summary!$B$3:$O$3</c15:sqref>
                        </c15:levelRef>
                        <c15:formulaRef>
                          <c15:sqref>Summary!$D$3:$O$3</c15:sqref>
                        </c15:formulaRef>
                      </c:ext>
                    </c:extLst>
                    <c:strCache>
                      <c:ptCount val="12"/>
                      <c:pt idx="0">
                        <c:v> September </c:v>
                      </c:pt>
                      <c:pt idx="1">
                        <c:v> October </c:v>
                      </c:pt>
                      <c:pt idx="2">
                        <c:v> November  </c:v>
                      </c:pt>
                      <c:pt idx="3">
                        <c:v> December  </c:v>
                      </c:pt>
                      <c:pt idx="4">
                        <c:v>January </c:v>
                      </c:pt>
                      <c:pt idx="5">
                        <c:v>February</c:v>
                      </c:pt>
                      <c:pt idx="6">
                        <c:v>March </c:v>
                      </c:pt>
                      <c:pt idx="7">
                        <c:v>April </c:v>
                      </c:pt>
                      <c:pt idx="8">
                        <c:v>May</c:v>
                      </c:pt>
                      <c:pt idx="9">
                        <c:v>June</c:v>
                      </c:pt>
                      <c:pt idx="10">
                        <c:v>July </c:v>
                      </c:pt>
                      <c:pt idx="11">
                        <c:v>August </c:v>
                      </c:pt>
                    </c:strCache>
                  </c:strRef>
                </c:cat>
                <c:val>
                  <c:numRef>
                    <c:extLst>
                      <c:ext xmlns:c15="http://schemas.microsoft.com/office/drawing/2012/chart" uri="{02D57815-91ED-43cb-92C2-25804820EDAC}">
                        <c15:fullRef>
                          <c15:sqref>Summary!$B$9:$O$9</c15:sqref>
                        </c15:fullRef>
                        <c15:formulaRef>
                          <c15:sqref>Summary!$D$9:$O$9</c15:sqref>
                        </c15:formulaRef>
                      </c:ext>
                    </c:extLst>
                    <c:numCache>
                      <c:formatCode>_(* #,##0_);_(* \(#,##0\);_(* "-"??_);_(@_)</c:formatCode>
                      <c:ptCount val="12"/>
                      <c:pt idx="0">
                        <c:v>523373.46</c:v>
                      </c:pt>
                      <c:pt idx="1">
                        <c:v>497328.2602545456</c:v>
                      </c:pt>
                      <c:pt idx="2">
                        <c:v>397453.85370909097</c:v>
                      </c:pt>
                      <c:pt idx="3">
                        <c:v>399913.07511919207</c:v>
                      </c:pt>
                      <c:pt idx="4">
                        <c:v>390067.42872929311</c:v>
                      </c:pt>
                      <c:pt idx="5">
                        <c:v>392526.65013939416</c:v>
                      </c:pt>
                      <c:pt idx="6">
                        <c:v>394985.8715494952</c:v>
                      </c:pt>
                      <c:pt idx="7">
                        <c:v>397445.09295959631</c:v>
                      </c:pt>
                      <c:pt idx="8">
                        <c:v>301465.3719696973</c:v>
                      </c:pt>
                      <c:pt idx="9">
                        <c:v>230095.38657979836</c:v>
                      </c:pt>
                      <c:pt idx="10">
                        <c:v>318688.6825898994</c:v>
                      </c:pt>
                      <c:pt idx="11">
                        <c:v>350183.57000000018</c:v>
                      </c:pt>
                    </c:numCache>
                  </c:numRef>
                </c:val>
                <c:smooth val="0"/>
                <c:extLst xmlns:c15="http://schemas.microsoft.com/office/drawing/2012/chart">
                  <c:ext xmlns:c16="http://schemas.microsoft.com/office/drawing/2014/chart" uri="{C3380CC4-5D6E-409C-BE32-E72D297353CC}">
                    <c16:uniqueId val="{00000003-A0BE-4479-9FC5-E497F05AC074}"/>
                  </c:ext>
                </c:extLst>
              </c15:ser>
            </c15:filteredLineSeries>
          </c:ext>
        </c:extLst>
      </c:lineChart>
      <c:catAx>
        <c:axId val="175762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432928"/>
        <c:crosses val="autoZero"/>
        <c:auto val="1"/>
        <c:lblAlgn val="ctr"/>
        <c:lblOffset val="100"/>
        <c:noMultiLvlLbl val="0"/>
      </c:catAx>
      <c:valAx>
        <c:axId val="175432928"/>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762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1295400</xdr:colOff>
      <xdr:row>11</xdr:row>
      <xdr:rowOff>133349</xdr:rowOff>
    </xdr:from>
    <xdr:to>
      <xdr:col>5</xdr:col>
      <xdr:colOff>828675</xdr:colOff>
      <xdr:row>35</xdr:row>
      <xdr:rowOff>123825</xdr:rowOff>
    </xdr:to>
    <xdr:graphicFrame macro="">
      <xdr:nvGraphicFramePr>
        <xdr:cNvPr id="2" name="Chart 1">
          <a:extLst>
            <a:ext uri="{FF2B5EF4-FFF2-40B4-BE49-F238E27FC236}">
              <a16:creationId xmlns:a16="http://schemas.microsoft.com/office/drawing/2014/main" id="{D1A99B0E-6876-0796-1D7B-65F21F268B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638175</xdr:colOff>
      <xdr:row>12</xdr:row>
      <xdr:rowOff>19050</xdr:rowOff>
    </xdr:from>
    <xdr:to>
      <xdr:col>11</xdr:col>
      <xdr:colOff>200025</xdr:colOff>
      <xdr:row>35</xdr:row>
      <xdr:rowOff>114300</xdr:rowOff>
    </xdr:to>
    <xdr:graphicFrame macro="">
      <xdr:nvGraphicFramePr>
        <xdr:cNvPr id="3" name="Chart 2">
          <a:extLst>
            <a:ext uri="{FF2B5EF4-FFF2-40B4-BE49-F238E27FC236}">
              <a16:creationId xmlns:a16="http://schemas.microsoft.com/office/drawing/2014/main" id="{9E979BF3-F50C-40FF-EF8D-FDA74928AF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11</xdr:col>
      <xdr:colOff>381904</xdr:colOff>
      <xdr:row>26</xdr:row>
      <xdr:rowOff>143171</xdr:rowOff>
    </xdr:to>
    <xdr:pic>
      <xdr:nvPicPr>
        <xdr:cNvPr id="2" name="Picture 1">
          <a:extLst>
            <a:ext uri="{FF2B5EF4-FFF2-40B4-BE49-F238E27FC236}">
              <a16:creationId xmlns:a16="http://schemas.microsoft.com/office/drawing/2014/main" id="{C3EA017C-DAFF-4D78-A772-7693434AC263}"/>
            </a:ext>
          </a:extLst>
        </xdr:cNvPr>
        <xdr:cNvPicPr>
          <a:picLocks noChangeAspect="1"/>
        </xdr:cNvPicPr>
      </xdr:nvPicPr>
      <xdr:blipFill>
        <a:blip xmlns:r="http://schemas.openxmlformats.org/officeDocument/2006/relationships" r:embed="rId1"/>
        <a:stretch>
          <a:fillRect/>
        </a:stretch>
      </xdr:blipFill>
      <xdr:spPr>
        <a:xfrm>
          <a:off x="609600" y="3914775"/>
          <a:ext cx="6477904" cy="201769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pril Kaech" id="{18315433-4822-4CAE-B550-8CDDE394A95E}" userId="S::akaech@esd113.org::55578787-15f6-444c-94e7-af2d498e3191" providerId="AD"/>
</personList>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ntegral">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Integral">
      <a:majorFont>
        <a:latin typeface="Tw Cen MT Condensed" panose="020B0606020104020203"/>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panose="020B0602020104020603"/>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Integral">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thm15="http://schemas.microsoft.com/office/thememl/2012/main" name="Integral" id="{3577F8C9-A904-41D8-97D2-FD898F53F20E}" vid="{682D6EBE-8D36-4FF2-9DB3-F3D8D7B6715D}"/>
    </a:ext>
  </a:extLst>
</a:theme>
</file>

<file path=xl/threadedComments/threadedComment1.xml><?xml version="1.0" encoding="utf-8"?>
<ThreadedComments xmlns="http://schemas.microsoft.com/office/spreadsheetml/2018/threadedcomments" xmlns:x="http://schemas.openxmlformats.org/spreadsheetml/2006/main">
  <threadedComment ref="E82" dT="2024-10-03T15:48:10.11" personId="{18315433-4822-4CAE-B550-8CDDE394A95E}" id="{82297E71-D077-4F9A-A536-BFD702B52EFE}">
    <text xml:space="preserve">Difference is Imprest acct GL 200-601 Liability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94"/>
  <sheetViews>
    <sheetView showGridLines="0" tabSelected="1" zoomScaleNormal="100" workbookViewId="0">
      <pane ySplit="6" topLeftCell="A7" activePane="bottomLeft" state="frozen"/>
      <selection pane="bottomLeft" activeCell="A67" sqref="A67:XFD69"/>
    </sheetView>
  </sheetViews>
  <sheetFormatPr defaultColWidth="9.140625" defaultRowHeight="12.75" x14ac:dyDescent="0.2"/>
  <cols>
    <col min="1" max="1" width="22.42578125" style="36" customWidth="1"/>
    <col min="2" max="2" width="46.85546875" style="36" bestFit="1" customWidth="1"/>
    <col min="3" max="3" width="17.7109375" style="2" bestFit="1" customWidth="1"/>
    <col min="4" max="4" width="19.7109375" style="2" bestFit="1" customWidth="1"/>
    <col min="5" max="5" width="15.85546875" style="2" bestFit="1" customWidth="1"/>
    <col min="6" max="6" width="14.7109375" style="2" bestFit="1" customWidth="1"/>
    <col min="7" max="7" width="13.7109375" style="2" bestFit="1" customWidth="1"/>
    <col min="8" max="8" width="17" style="2" customWidth="1"/>
    <col min="9" max="13" width="17.42578125" style="1" bestFit="1" customWidth="1"/>
    <col min="14" max="16" width="16.140625" style="1" bestFit="1" customWidth="1"/>
    <col min="17" max="17" width="15" bestFit="1" customWidth="1"/>
    <col min="18" max="18" width="13.5703125" bestFit="1" customWidth="1"/>
    <col min="19" max="30" width="9.140625" customWidth="1"/>
    <col min="31" max="16384" width="9.140625" style="1"/>
  </cols>
  <sheetData>
    <row r="1" spans="1:30" ht="15.75" x14ac:dyDescent="0.25">
      <c r="A1" s="103" t="s">
        <v>137</v>
      </c>
      <c r="B1" s="103"/>
      <c r="C1" s="103"/>
      <c r="D1" s="103"/>
      <c r="E1" s="103"/>
      <c r="F1" s="103"/>
      <c r="G1" s="103"/>
      <c r="H1" s="103"/>
      <c r="I1" s="103"/>
      <c r="J1" s="103"/>
      <c r="K1" s="103"/>
      <c r="L1" s="103"/>
    </row>
    <row r="2" spans="1:30" ht="15.75" x14ac:dyDescent="0.25">
      <c r="A2" s="44" t="s">
        <v>39</v>
      </c>
      <c r="B2" s="33"/>
      <c r="C2" s="15"/>
      <c r="D2" s="15"/>
      <c r="E2" s="15"/>
      <c r="F2" s="15"/>
      <c r="G2" s="15"/>
      <c r="H2" s="15"/>
      <c r="I2" s="14"/>
      <c r="J2" s="14"/>
      <c r="K2" s="14"/>
      <c r="L2" s="14"/>
    </row>
    <row r="3" spans="1:30" ht="15.75" x14ac:dyDescent="0.25">
      <c r="A3" s="38"/>
      <c r="B3" s="33"/>
      <c r="C3" s="15"/>
      <c r="D3" s="15"/>
      <c r="E3" s="15"/>
      <c r="F3" s="15"/>
      <c r="G3" s="15"/>
      <c r="H3" s="15"/>
      <c r="I3" s="14"/>
      <c r="J3" s="14"/>
      <c r="K3" s="14"/>
      <c r="L3" s="14"/>
    </row>
    <row r="4" spans="1:30" ht="15.75" x14ac:dyDescent="0.25">
      <c r="A4" s="38"/>
      <c r="B4" s="33"/>
      <c r="C4" s="18" t="s">
        <v>17</v>
      </c>
      <c r="D4" s="19" t="s">
        <v>20</v>
      </c>
      <c r="E4" s="19" t="s">
        <v>7</v>
      </c>
      <c r="F4" s="19" t="s">
        <v>8</v>
      </c>
      <c r="G4" s="19" t="s">
        <v>9</v>
      </c>
      <c r="H4" s="19" t="s">
        <v>10</v>
      </c>
      <c r="I4" s="16" t="s">
        <v>2</v>
      </c>
      <c r="J4" s="16" t="s">
        <v>3</v>
      </c>
      <c r="K4" s="16" t="s">
        <v>4</v>
      </c>
      <c r="L4" s="16" t="s">
        <v>5</v>
      </c>
      <c r="M4" s="20" t="s">
        <v>12</v>
      </c>
      <c r="N4" s="20" t="s">
        <v>13</v>
      </c>
      <c r="O4" s="20" t="s">
        <v>14</v>
      </c>
      <c r="P4" s="21" t="s">
        <v>15</v>
      </c>
    </row>
    <row r="5" spans="1:30" s="57" customFormat="1" x14ac:dyDescent="0.2">
      <c r="A5" s="51" t="s">
        <v>42</v>
      </c>
      <c r="B5" s="52"/>
      <c r="C5" s="53">
        <v>46</v>
      </c>
      <c r="D5" s="54">
        <v>46</v>
      </c>
      <c r="E5" s="55">
        <v>48.75</v>
      </c>
      <c r="F5" s="55">
        <v>0</v>
      </c>
      <c r="G5" s="55">
        <v>0</v>
      </c>
      <c r="H5" s="55">
        <v>0</v>
      </c>
      <c r="I5" s="55">
        <v>0</v>
      </c>
      <c r="J5" s="56">
        <v>0</v>
      </c>
      <c r="K5" s="56">
        <v>0</v>
      </c>
      <c r="L5" s="56">
        <v>0</v>
      </c>
      <c r="M5" s="57">
        <v>0</v>
      </c>
      <c r="N5" s="57">
        <v>0</v>
      </c>
      <c r="O5" s="57">
        <v>0</v>
      </c>
      <c r="P5" s="57">
        <v>0</v>
      </c>
      <c r="Q5" s="58"/>
      <c r="R5" s="58"/>
      <c r="S5" s="58"/>
      <c r="T5" s="58"/>
      <c r="U5" s="58"/>
      <c r="V5" s="58"/>
      <c r="W5" s="58"/>
      <c r="X5" s="58"/>
      <c r="Y5" s="58"/>
      <c r="Z5" s="58"/>
      <c r="AA5" s="58"/>
      <c r="AB5" s="58"/>
      <c r="AC5" s="58"/>
      <c r="AD5" s="58"/>
    </row>
    <row r="6" spans="1:30" x14ac:dyDescent="0.2">
      <c r="C6" s="18" t="s">
        <v>17</v>
      </c>
      <c r="D6" s="19" t="s">
        <v>20</v>
      </c>
      <c r="E6" s="26" t="s">
        <v>50</v>
      </c>
      <c r="F6" s="26" t="s">
        <v>51</v>
      </c>
      <c r="G6" s="26" t="s">
        <v>55</v>
      </c>
      <c r="H6" s="26" t="s">
        <v>46</v>
      </c>
      <c r="I6" s="17" t="s">
        <v>52</v>
      </c>
      <c r="J6" s="17" t="s">
        <v>47</v>
      </c>
      <c r="K6" s="17" t="s">
        <v>48</v>
      </c>
      <c r="L6" s="17" t="s">
        <v>49</v>
      </c>
      <c r="M6" s="20" t="s">
        <v>53</v>
      </c>
      <c r="N6" s="20" t="s">
        <v>44</v>
      </c>
      <c r="O6" s="20" t="s">
        <v>54</v>
      </c>
      <c r="P6" s="21" t="s">
        <v>45</v>
      </c>
      <c r="Q6" s="24" t="s">
        <v>40</v>
      </c>
      <c r="R6" s="24" t="s">
        <v>100</v>
      </c>
    </row>
    <row r="7" spans="1:30" ht="13.5" thickBot="1" x14ac:dyDescent="0.25">
      <c r="A7" s="172" t="s">
        <v>41</v>
      </c>
      <c r="B7" s="173" t="s">
        <v>124</v>
      </c>
      <c r="C7" s="29" t="s">
        <v>6</v>
      </c>
      <c r="D7" s="61" t="s">
        <v>28</v>
      </c>
      <c r="E7" s="211" t="s">
        <v>138</v>
      </c>
      <c r="F7" s="210" t="s">
        <v>126</v>
      </c>
      <c r="G7" s="210" t="s">
        <v>126</v>
      </c>
      <c r="H7" s="210" t="s">
        <v>126</v>
      </c>
      <c r="I7" s="210" t="s">
        <v>126</v>
      </c>
      <c r="J7" s="210" t="s">
        <v>126</v>
      </c>
      <c r="K7" s="210" t="s">
        <v>126</v>
      </c>
      <c r="L7" s="210" t="s">
        <v>126</v>
      </c>
      <c r="M7" s="210" t="s">
        <v>126</v>
      </c>
      <c r="N7" s="210" t="s">
        <v>126</v>
      </c>
      <c r="O7" s="210" t="s">
        <v>126</v>
      </c>
      <c r="P7" s="210" t="s">
        <v>126</v>
      </c>
    </row>
    <row r="8" spans="1:30" x14ac:dyDescent="0.2">
      <c r="A8" s="162" t="s">
        <v>85</v>
      </c>
      <c r="B8" s="174"/>
      <c r="C8" s="175"/>
      <c r="D8" s="176"/>
      <c r="E8" s="16"/>
      <c r="F8" s="16"/>
      <c r="G8" s="16"/>
      <c r="H8" s="16"/>
      <c r="I8" s="16"/>
      <c r="J8" s="16"/>
      <c r="K8" s="16"/>
      <c r="L8" s="16"/>
      <c r="M8" s="16"/>
      <c r="N8" s="16"/>
      <c r="O8" s="16"/>
      <c r="P8" s="22"/>
    </row>
    <row r="9" spans="1:30" x14ac:dyDescent="0.2">
      <c r="A9" s="177">
        <v>3100</v>
      </c>
      <c r="B9" s="46" t="s">
        <v>21</v>
      </c>
      <c r="C9" s="27">
        <v>2138581</v>
      </c>
      <c r="D9" s="178">
        <v>2138270.64</v>
      </c>
      <c r="E9" s="212">
        <v>192444.36</v>
      </c>
      <c r="F9" s="89">
        <f>SUM($D9*8%)</f>
        <v>171061.65120000002</v>
      </c>
      <c r="G9" s="89">
        <f>SUM($D9*5%)</f>
        <v>106913.53200000001</v>
      </c>
      <c r="H9" s="89">
        <f>SUM($D9*9%)</f>
        <v>192444.35760000002</v>
      </c>
      <c r="I9" s="86">
        <f>$D9*8.5%</f>
        <v>181753.00440000003</v>
      </c>
      <c r="J9" s="86">
        <f>SUM($D9*9%)</f>
        <v>192444.35760000002</v>
      </c>
      <c r="K9" s="86">
        <f>SUM($D9*9%)</f>
        <v>192444.35760000002</v>
      </c>
      <c r="L9" s="86">
        <f>SUM($D9*9%)</f>
        <v>192444.35760000002</v>
      </c>
      <c r="M9" s="87">
        <f>SUM($D9*5%)</f>
        <v>106913.53200000001</v>
      </c>
      <c r="N9" s="87">
        <f>SUM($D9*6%)</f>
        <v>128296.2384</v>
      </c>
      <c r="O9" s="88">
        <f>SUM($D9*12.5%)</f>
        <v>267283.83</v>
      </c>
      <c r="P9" s="88">
        <f>($D9-SUM($E9:O9))/1</f>
        <v>213827.0615999999</v>
      </c>
      <c r="Q9" s="25">
        <f>SUM(E9:P9)</f>
        <v>2138270.64</v>
      </c>
      <c r="R9" s="84">
        <f>Q9-D9</f>
        <v>0</v>
      </c>
    </row>
    <row r="10" spans="1:30" x14ac:dyDescent="0.2">
      <c r="A10" s="177">
        <v>3121</v>
      </c>
      <c r="B10" s="46" t="s">
        <v>22</v>
      </c>
      <c r="C10" s="27">
        <v>4092</v>
      </c>
      <c r="D10" s="178">
        <v>4091.99</v>
      </c>
      <c r="E10" s="212">
        <v>368.28</v>
      </c>
      <c r="F10" s="89">
        <f t="shared" ref="F10" si="0">SUM($D10*8%)</f>
        <v>327.35919999999999</v>
      </c>
      <c r="G10" s="89">
        <f t="shared" ref="G10" si="1">SUM($D10*5%)</f>
        <v>204.59950000000001</v>
      </c>
      <c r="H10" s="89">
        <f t="shared" ref="H10" si="2">SUM($D10*9%)</f>
        <v>368.27909999999997</v>
      </c>
      <c r="I10" s="86">
        <f t="shared" ref="I10" si="3">$D10*8.5%</f>
        <v>347.81914999999998</v>
      </c>
      <c r="J10" s="86">
        <f t="shared" ref="J10:L10" si="4">SUM($D10*9%)</f>
        <v>368.27909999999997</v>
      </c>
      <c r="K10" s="86">
        <f t="shared" si="4"/>
        <v>368.27909999999997</v>
      </c>
      <c r="L10" s="86">
        <f t="shared" si="4"/>
        <v>368.27909999999997</v>
      </c>
      <c r="M10" s="87">
        <f t="shared" ref="M10" si="5">SUM($D10*5%)</f>
        <v>204.59950000000001</v>
      </c>
      <c r="N10" s="87">
        <f t="shared" ref="N10" si="6">SUM($D10*6%)</f>
        <v>245.51939999999999</v>
      </c>
      <c r="O10" s="88">
        <f t="shared" ref="O10" si="7">SUM($D10*12.5%)</f>
        <v>511.49874999999997</v>
      </c>
      <c r="P10" s="88">
        <f>($D10-SUM($E10:O10))/1</f>
        <v>409.19809999999961</v>
      </c>
      <c r="Q10" s="25">
        <f t="shared" ref="Q10:Q32" si="8">SUM(E10:P10)</f>
        <v>4091.99</v>
      </c>
      <c r="R10" s="84">
        <f t="shared" ref="R10:R58" si="9">Q10-D10</f>
        <v>0</v>
      </c>
    </row>
    <row r="11" spans="1:30" x14ac:dyDescent="0.2">
      <c r="A11" s="177">
        <v>4100</v>
      </c>
      <c r="B11" s="46" t="s">
        <v>119</v>
      </c>
      <c r="C11" s="62">
        <v>0</v>
      </c>
      <c r="D11" s="179">
        <v>0</v>
      </c>
      <c r="E11" s="212">
        <v>0</v>
      </c>
      <c r="F11" s="89">
        <f>SUM($D11*8%)</f>
        <v>0</v>
      </c>
      <c r="G11" s="89">
        <f>SUM($D11*5%)</f>
        <v>0</v>
      </c>
      <c r="H11" s="89">
        <f>SUM($D11*9%)</f>
        <v>0</v>
      </c>
      <c r="I11" s="86">
        <f>$D11*8.5%</f>
        <v>0</v>
      </c>
      <c r="J11" s="86">
        <f t="shared" ref="J11:L13" si="10">SUM($D11*9%)</f>
        <v>0</v>
      </c>
      <c r="K11" s="86">
        <f t="shared" si="10"/>
        <v>0</v>
      </c>
      <c r="L11" s="86">
        <f t="shared" si="10"/>
        <v>0</v>
      </c>
      <c r="M11" s="87">
        <f>SUM($D11*5%)</f>
        <v>0</v>
      </c>
      <c r="N11" s="87">
        <f>SUM($D11*6%)</f>
        <v>0</v>
      </c>
      <c r="O11" s="88">
        <f>SUM($D11*12.5%)</f>
        <v>0</v>
      </c>
      <c r="P11" s="88">
        <f>($D11-SUM($E11:O11))/1</f>
        <v>0</v>
      </c>
      <c r="Q11" s="25">
        <f t="shared" ref="Q11:Q12" si="11">SUM(E11:P11)</f>
        <v>0</v>
      </c>
      <c r="R11" s="84">
        <f t="shared" ref="R11:R12" si="12">Q11-D11</f>
        <v>0</v>
      </c>
      <c r="T11" s="23"/>
      <c r="U11" s="23"/>
      <c r="V11" s="23"/>
      <c r="W11" s="23"/>
      <c r="X11" s="23"/>
      <c r="Y11" s="23"/>
      <c r="Z11" s="23"/>
      <c r="AA11" s="23"/>
      <c r="AB11" s="23"/>
      <c r="AC11" s="23"/>
      <c r="AD11" s="23"/>
    </row>
    <row r="12" spans="1:30" x14ac:dyDescent="0.2">
      <c r="A12" s="177">
        <v>4109</v>
      </c>
      <c r="B12" s="46" t="s">
        <v>128</v>
      </c>
      <c r="C12" s="27">
        <v>11874</v>
      </c>
      <c r="D12" s="178">
        <v>11874.45</v>
      </c>
      <c r="E12" s="212">
        <v>1068.7</v>
      </c>
      <c r="F12" s="89">
        <f t="shared" ref="F12:F15" si="13">SUM($D12*8%)</f>
        <v>949.95600000000013</v>
      </c>
      <c r="G12" s="89">
        <f t="shared" ref="G12:G15" si="14">SUM($D12*5%)</f>
        <v>593.72250000000008</v>
      </c>
      <c r="H12" s="89">
        <f t="shared" ref="H12:H15" si="15">SUM($D12*9%)</f>
        <v>1068.7004999999999</v>
      </c>
      <c r="I12" s="86">
        <f>$D12*8.5%</f>
        <v>1009.3282500000001</v>
      </c>
      <c r="J12" s="86">
        <f t="shared" si="10"/>
        <v>1068.7004999999999</v>
      </c>
      <c r="K12" s="86">
        <f t="shared" si="10"/>
        <v>1068.7004999999999</v>
      </c>
      <c r="L12" s="86">
        <f t="shared" si="10"/>
        <v>1068.7004999999999</v>
      </c>
      <c r="M12" s="87">
        <f>SUM($D12*5%)</f>
        <v>593.72250000000008</v>
      </c>
      <c r="N12" s="87">
        <f>SUM($D12*6%)</f>
        <v>712.46699999999998</v>
      </c>
      <c r="O12" s="88">
        <f>SUM($D12*12.5%)</f>
        <v>1484.3062500000001</v>
      </c>
      <c r="P12" s="88">
        <f>($D12-SUM($E12:O12))/1</f>
        <v>1187.4454999999998</v>
      </c>
      <c r="Q12" s="25">
        <f t="shared" si="11"/>
        <v>11874.45</v>
      </c>
      <c r="R12" s="84">
        <f t="shared" si="12"/>
        <v>0</v>
      </c>
    </row>
    <row r="13" spans="1:30" x14ac:dyDescent="0.2">
      <c r="A13" s="177">
        <v>4121</v>
      </c>
      <c r="B13" s="46" t="s">
        <v>23</v>
      </c>
      <c r="C13" s="27">
        <v>65717</v>
      </c>
      <c r="D13" s="178">
        <v>65714.55</v>
      </c>
      <c r="E13" s="212">
        <v>5914.31</v>
      </c>
      <c r="F13" s="89">
        <f t="shared" si="13"/>
        <v>5257.1640000000007</v>
      </c>
      <c r="G13" s="89">
        <f t="shared" si="14"/>
        <v>3285.7275000000004</v>
      </c>
      <c r="H13" s="89">
        <f t="shared" si="15"/>
        <v>5914.3095000000003</v>
      </c>
      <c r="I13" s="86">
        <f>$D13*8.5%</f>
        <v>5585.7367500000009</v>
      </c>
      <c r="J13" s="86">
        <f t="shared" si="10"/>
        <v>5914.3095000000003</v>
      </c>
      <c r="K13" s="86">
        <f t="shared" si="10"/>
        <v>5914.3095000000003</v>
      </c>
      <c r="L13" s="86">
        <f t="shared" si="10"/>
        <v>5914.3095000000003</v>
      </c>
      <c r="M13" s="87">
        <f>SUM($D13*5%)</f>
        <v>3285.7275000000004</v>
      </c>
      <c r="N13" s="87">
        <f>SUM($D13*6%)</f>
        <v>3942.873</v>
      </c>
      <c r="O13" s="88">
        <f>SUM($D13*12.5%)</f>
        <v>8214.3187500000004</v>
      </c>
      <c r="P13" s="88">
        <f>($D13-SUM($E13:O13))/1</f>
        <v>6571.4544999999998</v>
      </c>
      <c r="Q13" s="25">
        <f t="shared" si="8"/>
        <v>65714.55</v>
      </c>
      <c r="R13" s="84">
        <f t="shared" si="9"/>
        <v>0</v>
      </c>
    </row>
    <row r="14" spans="1:30" x14ac:dyDescent="0.2">
      <c r="A14" s="177">
        <v>4155</v>
      </c>
      <c r="B14" s="46" t="s">
        <v>24</v>
      </c>
      <c r="C14" s="27">
        <v>49177</v>
      </c>
      <c r="D14" s="178">
        <v>49177</v>
      </c>
      <c r="E14" s="212">
        <v>0</v>
      </c>
      <c r="F14" s="89">
        <f t="shared" si="13"/>
        <v>3934.16</v>
      </c>
      <c r="G14" s="89">
        <f t="shared" si="14"/>
        <v>2458.8500000000004</v>
      </c>
      <c r="H14" s="89">
        <f t="shared" si="15"/>
        <v>4425.93</v>
      </c>
      <c r="I14" s="86">
        <f t="shared" ref="I14:I15" si="16">$D14*8.5%</f>
        <v>4180.0450000000001</v>
      </c>
      <c r="J14" s="86">
        <f t="shared" ref="J14:L15" si="17">SUM($D14*9%)</f>
        <v>4425.93</v>
      </c>
      <c r="K14" s="86">
        <f t="shared" si="17"/>
        <v>4425.93</v>
      </c>
      <c r="L14" s="86">
        <f t="shared" si="17"/>
        <v>4425.93</v>
      </c>
      <c r="M14" s="87">
        <f t="shared" ref="M14:M15" si="18">SUM($D14*5%)</f>
        <v>2458.8500000000004</v>
      </c>
      <c r="N14" s="87">
        <f t="shared" ref="N14:N15" si="19">SUM($D14*6%)</f>
        <v>2950.62</v>
      </c>
      <c r="O14" s="88">
        <f t="shared" ref="O14:O15" si="20">SUM($D14*12.5%)</f>
        <v>6147.125</v>
      </c>
      <c r="P14" s="88">
        <f>($D14-SUM($E14:O14))/1</f>
        <v>9343.6299999999974</v>
      </c>
      <c r="Q14" s="25">
        <f t="shared" si="8"/>
        <v>49177</v>
      </c>
      <c r="R14" s="84">
        <f t="shared" si="9"/>
        <v>0</v>
      </c>
    </row>
    <row r="15" spans="1:30" x14ac:dyDescent="0.2">
      <c r="A15" s="177" t="s">
        <v>19</v>
      </c>
      <c r="B15" s="46" t="s">
        <v>25</v>
      </c>
      <c r="C15" s="27">
        <v>0</v>
      </c>
      <c r="D15" s="178">
        <v>0</v>
      </c>
      <c r="E15" s="212">
        <v>0</v>
      </c>
      <c r="F15" s="89">
        <f t="shared" si="13"/>
        <v>0</v>
      </c>
      <c r="G15" s="89">
        <f t="shared" si="14"/>
        <v>0</v>
      </c>
      <c r="H15" s="89">
        <f t="shared" si="15"/>
        <v>0</v>
      </c>
      <c r="I15" s="86">
        <f t="shared" si="16"/>
        <v>0</v>
      </c>
      <c r="J15" s="86">
        <f t="shared" si="17"/>
        <v>0</v>
      </c>
      <c r="K15" s="86">
        <f t="shared" si="17"/>
        <v>0</v>
      </c>
      <c r="L15" s="86">
        <f t="shared" si="17"/>
        <v>0</v>
      </c>
      <c r="M15" s="87">
        <f t="shared" si="18"/>
        <v>0</v>
      </c>
      <c r="N15" s="87">
        <f t="shared" si="19"/>
        <v>0</v>
      </c>
      <c r="O15" s="88">
        <f t="shared" si="20"/>
        <v>0</v>
      </c>
      <c r="P15" s="88">
        <f>($D15-SUM($E15:O15))/1</f>
        <v>0</v>
      </c>
      <c r="Q15" s="25">
        <f t="shared" si="8"/>
        <v>0</v>
      </c>
      <c r="R15" s="84">
        <f t="shared" si="9"/>
        <v>0</v>
      </c>
    </row>
    <row r="16" spans="1:30" x14ac:dyDescent="0.2">
      <c r="A16" s="177" t="s">
        <v>104</v>
      </c>
      <c r="B16" s="46" t="s">
        <v>105</v>
      </c>
      <c r="C16" s="27">
        <v>0</v>
      </c>
      <c r="D16" s="178">
        <v>0</v>
      </c>
      <c r="E16" s="212">
        <v>0</v>
      </c>
      <c r="F16" s="89"/>
      <c r="G16" s="89"/>
      <c r="H16" s="89"/>
      <c r="I16" s="86"/>
      <c r="J16" s="86"/>
      <c r="K16" s="86"/>
      <c r="L16" s="86"/>
      <c r="M16" s="86"/>
      <c r="N16" s="86"/>
      <c r="O16" s="88">
        <f>D16</f>
        <v>0</v>
      </c>
      <c r="P16" s="88"/>
      <c r="Q16" s="25">
        <f t="shared" si="8"/>
        <v>0</v>
      </c>
      <c r="R16" s="84">
        <f t="shared" si="9"/>
        <v>0</v>
      </c>
    </row>
    <row r="17" spans="1:30" x14ac:dyDescent="0.2">
      <c r="A17" s="177" t="s">
        <v>130</v>
      </c>
      <c r="B17" s="46" t="s">
        <v>131</v>
      </c>
      <c r="C17" s="27">
        <v>0</v>
      </c>
      <c r="D17" s="178">
        <v>0</v>
      </c>
      <c r="E17" s="212">
        <v>0</v>
      </c>
      <c r="F17" s="89"/>
      <c r="G17" s="89"/>
      <c r="H17" s="89"/>
      <c r="I17" s="86"/>
      <c r="J17" s="86"/>
      <c r="K17" s="86"/>
      <c r="L17" s="86"/>
      <c r="M17" s="86"/>
      <c r="N17" s="86"/>
      <c r="O17" s="88">
        <f>D17</f>
        <v>0</v>
      </c>
      <c r="P17" s="88"/>
      <c r="Q17" s="25">
        <f t="shared" ref="Q17" si="21">SUM(E17:P17)</f>
        <v>0</v>
      </c>
      <c r="R17" s="84">
        <f t="shared" ref="R17" si="22">Q17-D17</f>
        <v>0</v>
      </c>
    </row>
    <row r="18" spans="1:30" x14ac:dyDescent="0.2">
      <c r="A18" s="177" t="s">
        <v>30</v>
      </c>
      <c r="B18" s="46" t="s">
        <v>31</v>
      </c>
      <c r="C18" s="27">
        <v>0</v>
      </c>
      <c r="D18" s="178">
        <v>0</v>
      </c>
      <c r="E18" s="212">
        <v>0</v>
      </c>
      <c r="F18" s="89">
        <f t="shared" ref="F18:F19" si="23">SUM($D18*8%)</f>
        <v>0</v>
      </c>
      <c r="G18" s="89">
        <f t="shared" ref="G18:G19" si="24">SUM($D18*5%)</f>
        <v>0</v>
      </c>
      <c r="H18" s="89">
        <f t="shared" ref="H18:H19" si="25">SUM($D18*9%)</f>
        <v>0</v>
      </c>
      <c r="I18" s="86">
        <f>($D18-SUM($E18:H18))/8</f>
        <v>0</v>
      </c>
      <c r="J18" s="86">
        <f>($D18-SUM($E18:I18))/7</f>
        <v>0</v>
      </c>
      <c r="K18" s="86">
        <f>($D18-SUM($E18:J18))/6</f>
        <v>0</v>
      </c>
      <c r="L18" s="86">
        <f>($D18-SUM($E18:K18))/5</f>
        <v>0</v>
      </c>
      <c r="M18" s="86">
        <f>($D18-SUM($E18:L18))/4</f>
        <v>0</v>
      </c>
      <c r="N18" s="86">
        <f>($D18-SUM($E18:M18))/3</f>
        <v>0</v>
      </c>
      <c r="O18" s="88">
        <f>($D18-SUM($E18:N18))/2</f>
        <v>0</v>
      </c>
      <c r="P18" s="88">
        <f>($D18-SUM($E18:O18))/1</f>
        <v>0</v>
      </c>
      <c r="Q18" s="25">
        <f t="shared" si="8"/>
        <v>0</v>
      </c>
      <c r="R18" s="84">
        <f t="shared" si="9"/>
        <v>0</v>
      </c>
    </row>
    <row r="19" spans="1:30" x14ac:dyDescent="0.2">
      <c r="A19" s="177" t="s">
        <v>32</v>
      </c>
      <c r="B19" s="46" t="s">
        <v>29</v>
      </c>
      <c r="C19" s="27">
        <v>0</v>
      </c>
      <c r="D19" s="178">
        <v>0</v>
      </c>
      <c r="E19" s="212">
        <v>0</v>
      </c>
      <c r="F19" s="89">
        <f t="shared" si="23"/>
        <v>0</v>
      </c>
      <c r="G19" s="89">
        <f t="shared" si="24"/>
        <v>0</v>
      </c>
      <c r="H19" s="89">
        <f t="shared" si="25"/>
        <v>0</v>
      </c>
      <c r="I19" s="86">
        <f>($D19-SUM($E19:H19))/8</f>
        <v>0</v>
      </c>
      <c r="J19" s="86">
        <f>($D19-SUM($E19:I19))/7</f>
        <v>0</v>
      </c>
      <c r="K19" s="86">
        <f>($D19-SUM($E19:J19))/6</f>
        <v>0</v>
      </c>
      <c r="L19" s="86">
        <f>($D19-SUM($E19:K19))/5</f>
        <v>0</v>
      </c>
      <c r="M19" s="86">
        <f>($D19-SUM($E19:L19))/4</f>
        <v>0</v>
      </c>
      <c r="N19" s="86">
        <f>($D19-SUM($E19:M19))/3</f>
        <v>0</v>
      </c>
      <c r="O19" s="88">
        <f>($D19-SUM($E19:N19))/2</f>
        <v>0</v>
      </c>
      <c r="P19" s="88">
        <f>($D19-SUM($E19:O19))/1</f>
        <v>0</v>
      </c>
      <c r="Q19" s="25">
        <f t="shared" si="8"/>
        <v>0</v>
      </c>
      <c r="R19" s="84">
        <f t="shared" si="9"/>
        <v>0</v>
      </c>
    </row>
    <row r="20" spans="1:30" x14ac:dyDescent="0.2">
      <c r="A20" s="177">
        <v>4198</v>
      </c>
      <c r="B20" s="46" t="s">
        <v>1</v>
      </c>
      <c r="C20" s="27">
        <v>2000</v>
      </c>
      <c r="D20" s="178">
        <v>2000</v>
      </c>
      <c r="E20" s="212">
        <v>0</v>
      </c>
      <c r="F20" s="89">
        <f>($D20-SUM($E20:E20))/11</f>
        <v>181.81818181818181</v>
      </c>
      <c r="G20" s="89">
        <f>($D20-SUM($E20:F20))/10</f>
        <v>181.81818181818181</v>
      </c>
      <c r="H20" s="89">
        <f>($D20-SUM($E20:G20))/9</f>
        <v>181.81818181818184</v>
      </c>
      <c r="I20" s="86">
        <f>($D20-SUM($E20:H20))/8</f>
        <v>181.81818181818181</v>
      </c>
      <c r="J20" s="86">
        <f>($D20-SUM($E20:I20))/7</f>
        <v>181.81818181818181</v>
      </c>
      <c r="K20" s="86">
        <f>($D20-SUM($E20:J20))/6</f>
        <v>181.81818181818184</v>
      </c>
      <c r="L20" s="86">
        <f>($D20-SUM($E20:K20))/5</f>
        <v>181.81818181818184</v>
      </c>
      <c r="M20" s="87">
        <f>($D20-SUM($E20:L20))/4</f>
        <v>181.81818181818187</v>
      </c>
      <c r="N20" s="87">
        <f>($D20-SUM($E20:M20))/3</f>
        <v>181.81818181818184</v>
      </c>
      <c r="O20" s="88">
        <f>($D20-SUM($E20:N20))/2</f>
        <v>181.81818181818187</v>
      </c>
      <c r="P20" s="88">
        <f>($D20-SUM($E20:O20))/1</f>
        <v>181.81818181818198</v>
      </c>
      <c r="Q20" s="25">
        <f t="shared" si="8"/>
        <v>2000</v>
      </c>
      <c r="R20" s="84">
        <f t="shared" si="9"/>
        <v>0</v>
      </c>
    </row>
    <row r="21" spans="1:30" x14ac:dyDescent="0.2">
      <c r="A21" s="177" t="s">
        <v>132</v>
      </c>
      <c r="B21" s="46" t="s">
        <v>134</v>
      </c>
      <c r="C21" s="27">
        <v>400</v>
      </c>
      <c r="D21" s="178">
        <v>400</v>
      </c>
      <c r="E21" s="212">
        <v>0</v>
      </c>
      <c r="F21" s="89">
        <f>($D21-SUM($E21:E21))/11</f>
        <v>36.363636363636367</v>
      </c>
      <c r="G21" s="89">
        <f>($D21-SUM($E21:F21))/10</f>
        <v>36.36363636363636</v>
      </c>
      <c r="H21" s="89">
        <f>($D21-SUM($E21:G21))/9</f>
        <v>36.36363636363636</v>
      </c>
      <c r="I21" s="86">
        <f>($D21-SUM($E21:H21))/8</f>
        <v>36.363636363636367</v>
      </c>
      <c r="J21" s="86">
        <f>($D21-SUM($E21:I21))/7</f>
        <v>36.363636363636367</v>
      </c>
      <c r="K21" s="86">
        <f>($D21-SUM($E21:J21))/6</f>
        <v>36.363636363636367</v>
      </c>
      <c r="L21" s="86">
        <f>($D21-SUM($E21:K21))/5</f>
        <v>36.36363636363636</v>
      </c>
      <c r="M21" s="87">
        <f>($D21-SUM($E21:L21))/4</f>
        <v>36.36363636363636</v>
      </c>
      <c r="N21" s="87">
        <f>($D21-SUM($E21:M21))/3</f>
        <v>36.363636363636353</v>
      </c>
      <c r="O21" s="88">
        <f>($D21-SUM($E21:N21))/2</f>
        <v>36.363636363636346</v>
      </c>
      <c r="P21" s="88">
        <f>($D21-SUM($E21:O21))/1</f>
        <v>36.363636363636374</v>
      </c>
      <c r="Q21" s="25">
        <f t="shared" ref="Q21:Q22" si="26">SUM(E21:P21)</f>
        <v>400</v>
      </c>
      <c r="R21" s="84">
        <f t="shared" ref="R21:R22" si="27">Q21-D21</f>
        <v>0</v>
      </c>
    </row>
    <row r="22" spans="1:30" x14ac:dyDescent="0.2">
      <c r="A22" s="177" t="s">
        <v>133</v>
      </c>
      <c r="B22" s="46" t="s">
        <v>135</v>
      </c>
      <c r="C22" s="27">
        <v>372</v>
      </c>
      <c r="D22" s="178">
        <v>372</v>
      </c>
      <c r="E22" s="212">
        <v>0</v>
      </c>
      <c r="F22" s="89">
        <f>($D22-SUM($E22:E22))/11</f>
        <v>33.81818181818182</v>
      </c>
      <c r="G22" s="89">
        <f>($D22-SUM($E22:F22))/10</f>
        <v>33.81818181818182</v>
      </c>
      <c r="H22" s="89">
        <f>($D22-SUM($E22:G22))/9</f>
        <v>33.81818181818182</v>
      </c>
      <c r="I22" s="86">
        <f>($D22-SUM($E22:H22))/8</f>
        <v>33.818181818181813</v>
      </c>
      <c r="J22" s="86">
        <f>($D22-SUM($E22:I22))/7</f>
        <v>33.81818181818182</v>
      </c>
      <c r="K22" s="86">
        <f>($D22-SUM($E22:J22))/6</f>
        <v>33.81818181818182</v>
      </c>
      <c r="L22" s="86">
        <f>($D22-SUM($E22:K22))/5</f>
        <v>33.81818181818182</v>
      </c>
      <c r="M22" s="87">
        <f>($D22-SUM($E22:L22))/4</f>
        <v>33.81818181818182</v>
      </c>
      <c r="N22" s="87">
        <f>($D22-SUM($E22:M22))/3</f>
        <v>33.818181818181813</v>
      </c>
      <c r="O22" s="88">
        <f>($D22-SUM($E22:N22))/2</f>
        <v>33.818181818181813</v>
      </c>
      <c r="P22" s="88">
        <f>($D22-SUM($E22:O22))/1</f>
        <v>33.818181818181813</v>
      </c>
      <c r="Q22" s="25">
        <f t="shared" si="26"/>
        <v>372</v>
      </c>
      <c r="R22" s="84">
        <f t="shared" si="27"/>
        <v>0</v>
      </c>
    </row>
    <row r="23" spans="1:30" s="66" customFormat="1" ht="13.5" thickBot="1" x14ac:dyDescent="0.25">
      <c r="A23" s="180">
        <v>4199</v>
      </c>
      <c r="B23" s="68" t="s">
        <v>26</v>
      </c>
      <c r="C23" s="69">
        <v>191844</v>
      </c>
      <c r="D23" s="181">
        <v>191844.93</v>
      </c>
      <c r="E23" s="212">
        <v>17266.04</v>
      </c>
      <c r="F23" s="89">
        <f t="shared" ref="F23:F24" si="28">SUM($D23*8%)</f>
        <v>15347.5944</v>
      </c>
      <c r="G23" s="89">
        <f t="shared" ref="G23:G24" si="29">SUM($D23*5%)</f>
        <v>9592.2464999999993</v>
      </c>
      <c r="H23" s="89">
        <f t="shared" ref="H23:H24" si="30">SUM($D23*9%)</f>
        <v>17266.043699999998</v>
      </c>
      <c r="I23" s="86">
        <f>$D23*8.5%</f>
        <v>16306.81905</v>
      </c>
      <c r="J23" s="86">
        <f>SUM($D23*9%)</f>
        <v>17266.043699999998</v>
      </c>
      <c r="K23" s="86">
        <f>SUM($D23*9%)</f>
        <v>17266.043699999998</v>
      </c>
      <c r="L23" s="86">
        <f>SUM($D23*9%)</f>
        <v>17266.043699999998</v>
      </c>
      <c r="M23" s="87">
        <f>SUM($D23*5%)</f>
        <v>9592.2464999999993</v>
      </c>
      <c r="N23" s="87">
        <f>SUM($D23*6%)</f>
        <v>11510.6958</v>
      </c>
      <c r="O23" s="88">
        <f>SUM($D23*12.5%)</f>
        <v>23980.616249999999</v>
      </c>
      <c r="P23" s="88">
        <f>($D23-SUM($E23:O23))/1</f>
        <v>19184.496700000018</v>
      </c>
      <c r="Q23" s="64">
        <f>SUM(E23:P23)</f>
        <v>191844.93</v>
      </c>
      <c r="R23" s="84">
        <f>Q23-D23</f>
        <v>0</v>
      </c>
      <c r="S23" s="65"/>
      <c r="T23" s="65"/>
      <c r="U23" s="65"/>
      <c r="V23" s="65"/>
      <c r="W23" s="65"/>
      <c r="X23" s="65"/>
      <c r="Y23" s="65"/>
      <c r="Z23" s="65"/>
      <c r="AA23" s="65"/>
      <c r="AB23" s="65"/>
      <c r="AC23" s="65"/>
      <c r="AD23" s="65"/>
    </row>
    <row r="24" spans="1:30" ht="13.5" thickTop="1" x14ac:dyDescent="0.2">
      <c r="A24" s="177"/>
      <c r="B24" s="46"/>
      <c r="C24" s="27">
        <v>0</v>
      </c>
      <c r="D24" s="178">
        <v>0</v>
      </c>
      <c r="E24" s="212">
        <v>0</v>
      </c>
      <c r="F24" s="89">
        <f t="shared" si="28"/>
        <v>0</v>
      </c>
      <c r="G24" s="89">
        <f t="shared" si="29"/>
        <v>0</v>
      </c>
      <c r="H24" s="89">
        <f t="shared" si="30"/>
        <v>0</v>
      </c>
      <c r="I24" s="86">
        <f>($D24-SUM($E24:H24))/8</f>
        <v>0</v>
      </c>
      <c r="J24" s="86">
        <f>($D24-SUM($E24:I24))/7</f>
        <v>0</v>
      </c>
      <c r="K24" s="86">
        <f>($D24-SUM($E24:J24))/6</f>
        <v>0</v>
      </c>
      <c r="L24" s="86">
        <f>($D24-SUM($E24:K24))/5</f>
        <v>0</v>
      </c>
      <c r="M24" s="87">
        <f>($D24-SUM($E24:L24))/4</f>
        <v>0</v>
      </c>
      <c r="N24" s="87">
        <f>($D24-SUM($E24:M24))/3</f>
        <v>0</v>
      </c>
      <c r="O24" s="88">
        <f>($D24-SUM($E24:N24))/2</f>
        <v>0</v>
      </c>
      <c r="P24" s="88">
        <f>($D24-SUM($E24:O24))/1</f>
        <v>0</v>
      </c>
      <c r="Q24" s="25">
        <f t="shared" ref="Q24" si="31">SUM(E24:P24)</f>
        <v>0</v>
      </c>
      <c r="R24" s="84">
        <f t="shared" ref="R24" si="32">Q24-D24</f>
        <v>0</v>
      </c>
    </row>
    <row r="25" spans="1:30" x14ac:dyDescent="0.2">
      <c r="I25" s="2"/>
    </row>
    <row r="26" spans="1:30" x14ac:dyDescent="0.2">
      <c r="A26" s="83" t="s">
        <v>88</v>
      </c>
      <c r="B26" s="182"/>
      <c r="C26" s="183"/>
      <c r="D26" s="183"/>
      <c r="E26" s="70"/>
      <c r="F26" s="70"/>
      <c r="G26" s="70"/>
      <c r="H26" s="70"/>
      <c r="I26" s="70"/>
      <c r="J26" s="70"/>
      <c r="K26" s="70"/>
      <c r="L26" s="70"/>
      <c r="M26" s="71"/>
      <c r="N26" s="71"/>
      <c r="O26" s="72"/>
      <c r="P26" s="73"/>
      <c r="Q26" s="25"/>
      <c r="R26" s="84"/>
    </row>
    <row r="27" spans="1:30" x14ac:dyDescent="0.2">
      <c r="A27" s="177">
        <v>6124</v>
      </c>
      <c r="B27" s="46" t="s">
        <v>125</v>
      </c>
      <c r="C27" s="27">
        <v>11000</v>
      </c>
      <c r="D27" s="178">
        <v>11000</v>
      </c>
      <c r="E27" s="212">
        <v>0</v>
      </c>
      <c r="F27" s="89">
        <f>($D27-SUM($E27:E27))/11</f>
        <v>1000</v>
      </c>
      <c r="G27" s="89">
        <f>($D27-SUM($E27:F27))/10</f>
        <v>1000</v>
      </c>
      <c r="H27" s="89">
        <f>($D27-SUM($E27:G27))/9</f>
        <v>1000</v>
      </c>
      <c r="I27" s="86">
        <f>($D27-SUM($E27:H27))/8</f>
        <v>1000</v>
      </c>
      <c r="J27" s="86">
        <f>($D27-SUM($E27:I27))/7</f>
        <v>1000</v>
      </c>
      <c r="K27" s="86">
        <f>($D27-SUM($E27:J27))/6</f>
        <v>1000</v>
      </c>
      <c r="L27" s="86">
        <f>($D27-SUM($E27:K27))/5</f>
        <v>1000</v>
      </c>
      <c r="M27" s="86">
        <f>($D27-SUM($E27:L27))/4</f>
        <v>1000</v>
      </c>
      <c r="N27" s="86">
        <f>($D27-SUM($E27:M27))/3</f>
        <v>1000</v>
      </c>
      <c r="O27" s="88">
        <f>($D27-SUM($E27:N27))/2</f>
        <v>1000</v>
      </c>
      <c r="P27" s="88">
        <f>($D27-SUM($E27:O27))/1</f>
        <v>1000</v>
      </c>
      <c r="Q27" s="25">
        <f t="shared" si="8"/>
        <v>11000</v>
      </c>
      <c r="R27" s="84">
        <f t="shared" si="9"/>
        <v>0</v>
      </c>
    </row>
    <row r="28" spans="1:30" x14ac:dyDescent="0.2">
      <c r="A28" s="177">
        <v>6151</v>
      </c>
      <c r="B28" s="46" t="s">
        <v>16</v>
      </c>
      <c r="C28" s="27">
        <v>1170</v>
      </c>
      <c r="D28" s="178">
        <v>1170</v>
      </c>
      <c r="E28" s="212">
        <v>0</v>
      </c>
      <c r="F28" s="89">
        <f>($D28-SUM($E28:E28))/11</f>
        <v>106.36363636363636</v>
      </c>
      <c r="G28" s="89">
        <f>($D28-SUM($E28:F28))/10</f>
        <v>106.36363636363637</v>
      </c>
      <c r="H28" s="89">
        <f>($D28-SUM($E28:G28))/9</f>
        <v>106.36363636363636</v>
      </c>
      <c r="I28" s="86">
        <f>($D28-SUM($E28:H28))/8</f>
        <v>106.36363636363636</v>
      </c>
      <c r="J28" s="86">
        <f>($D28-SUM($E28:I28))/7</f>
        <v>106.36363636363636</v>
      </c>
      <c r="K28" s="86">
        <f>($D28-SUM($E28:J28))/6</f>
        <v>106.36363636363636</v>
      </c>
      <c r="L28" s="86">
        <f>($D28-SUM($E28:K28))/5</f>
        <v>106.36363636363635</v>
      </c>
      <c r="M28" s="86">
        <f>($D28-SUM($E28:L28))/4</f>
        <v>106.36363636363635</v>
      </c>
      <c r="N28" s="86">
        <f>($D28-SUM($E28:M28))/3</f>
        <v>106.36363636363633</v>
      </c>
      <c r="O28" s="88">
        <f>($D28-SUM($E28:N28))/2</f>
        <v>106.36363636363632</v>
      </c>
      <c r="P28" s="88">
        <f>($D28-SUM($E28:O28))/1</f>
        <v>106.36363636363626</v>
      </c>
      <c r="Q28" s="25">
        <f t="shared" ref="Q28" si="33">SUM(E28:P28)</f>
        <v>1170</v>
      </c>
      <c r="R28" s="84">
        <f t="shared" ref="R28" si="34">Q28-D28</f>
        <v>0</v>
      </c>
    </row>
    <row r="29" spans="1:30" x14ac:dyDescent="0.2">
      <c r="A29" s="177">
        <v>6152</v>
      </c>
      <c r="B29" s="46" t="s">
        <v>27</v>
      </c>
      <c r="C29" s="27">
        <v>1500</v>
      </c>
      <c r="D29" s="178">
        <v>1500</v>
      </c>
      <c r="E29" s="212">
        <v>0</v>
      </c>
      <c r="F29" s="89">
        <f>($D29-SUM($E29:E29))/11</f>
        <v>136.36363636363637</v>
      </c>
      <c r="G29" s="89">
        <f>($D29-SUM($E29:F29))/10</f>
        <v>136.36363636363635</v>
      </c>
      <c r="H29" s="89">
        <f>($D29-SUM($E29:G29))/9</f>
        <v>136.36363636363637</v>
      </c>
      <c r="I29" s="86">
        <f>($D29-SUM($E29:H29))/8</f>
        <v>136.36363636363637</v>
      </c>
      <c r="J29" s="86">
        <f>($D29-SUM($E29:I29))/7</f>
        <v>136.36363636363635</v>
      </c>
      <c r="K29" s="86">
        <f>($D29-SUM($E29:J29))/6</f>
        <v>136.36363636363635</v>
      </c>
      <c r="L29" s="86">
        <f>($D29-SUM($E29:K29))/5</f>
        <v>136.36363636363635</v>
      </c>
      <c r="M29" s="86">
        <f>($D29-SUM($E29:L29))/4</f>
        <v>136.36363636363635</v>
      </c>
      <c r="N29" s="86">
        <f>($D29-SUM($E29:M29))/3</f>
        <v>136.36363636363635</v>
      </c>
      <c r="O29" s="88">
        <f>($D29-SUM($E29:N29))/2</f>
        <v>136.36363636363637</v>
      </c>
      <c r="P29" s="88">
        <f>($D29-SUM($E29:O29))/1</f>
        <v>136.36363636363649</v>
      </c>
      <c r="Q29" s="25">
        <f>SUM(E29:P29)</f>
        <v>1500</v>
      </c>
      <c r="R29" s="84">
        <f t="shared" si="9"/>
        <v>0</v>
      </c>
    </row>
    <row r="30" spans="1:30" x14ac:dyDescent="0.2">
      <c r="A30" s="177">
        <v>615201</v>
      </c>
      <c r="B30" s="46" t="s">
        <v>139</v>
      </c>
      <c r="C30" s="27">
        <v>10000</v>
      </c>
      <c r="D30" s="178">
        <v>10000</v>
      </c>
      <c r="E30" s="212">
        <v>0</v>
      </c>
      <c r="F30" s="89">
        <f>($D30-SUM($E30:E30))/11</f>
        <v>909.09090909090912</v>
      </c>
      <c r="G30" s="89">
        <f>($D30-SUM($E30:F30))/10</f>
        <v>909.09090909090901</v>
      </c>
      <c r="H30" s="89">
        <f>($D30-SUM($E30:G30))/9</f>
        <v>909.09090909090912</v>
      </c>
      <c r="I30" s="86">
        <f>($D30-SUM($E30:H30))/8</f>
        <v>909.09090909090912</v>
      </c>
      <c r="J30" s="86">
        <f>($D30-SUM($E30:I30))/7</f>
        <v>909.09090909090912</v>
      </c>
      <c r="K30" s="86">
        <f>($D30-SUM($E30:J30))/6</f>
        <v>909.09090909090912</v>
      </c>
      <c r="L30" s="86">
        <f>($D30-SUM($E30:K30))/5</f>
        <v>909.09090909090924</v>
      </c>
      <c r="M30" s="86">
        <f>($D30-SUM($E30:L30))/4</f>
        <v>909.09090909090924</v>
      </c>
      <c r="N30" s="86">
        <f>($D30-SUM($E30:M30))/3</f>
        <v>909.09090909090935</v>
      </c>
      <c r="O30" s="88">
        <f>($D30-SUM($E30:N30))/2</f>
        <v>909.09090909090946</v>
      </c>
      <c r="P30" s="88">
        <f>($D30-SUM($E30:O30))/1</f>
        <v>909.09090909090992</v>
      </c>
      <c r="Q30" s="25">
        <f>SUM(E30:P30)</f>
        <v>10000</v>
      </c>
      <c r="R30" s="84"/>
    </row>
    <row r="31" spans="1:30" x14ac:dyDescent="0.2">
      <c r="A31" s="205">
        <v>615201</v>
      </c>
      <c r="B31" s="206" t="s">
        <v>140</v>
      </c>
      <c r="C31" s="208">
        <v>0</v>
      </c>
      <c r="D31" s="209">
        <v>3212.01</v>
      </c>
      <c r="E31" s="212">
        <v>3212.01</v>
      </c>
      <c r="F31" s="207">
        <f>($D31-SUM($E31:E31))/2</f>
        <v>0</v>
      </c>
      <c r="G31" s="207">
        <f>($D31-SUM($E31:F31))/1</f>
        <v>0</v>
      </c>
      <c r="H31" s="89"/>
      <c r="I31" s="86"/>
      <c r="J31" s="86"/>
      <c r="K31" s="86"/>
      <c r="L31" s="86"/>
      <c r="M31" s="86"/>
      <c r="N31" s="86"/>
      <c r="O31" s="88"/>
      <c r="P31" s="88"/>
      <c r="Q31" s="25">
        <f t="shared" si="8"/>
        <v>3212.01</v>
      </c>
      <c r="R31" s="84">
        <f t="shared" si="9"/>
        <v>0</v>
      </c>
    </row>
    <row r="32" spans="1:30" x14ac:dyDescent="0.2">
      <c r="A32" s="177">
        <v>6198</v>
      </c>
      <c r="B32" s="46" t="s">
        <v>33</v>
      </c>
      <c r="C32" s="27">
        <v>30000</v>
      </c>
      <c r="D32" s="178">
        <v>30000</v>
      </c>
      <c r="E32" s="212">
        <v>0</v>
      </c>
      <c r="F32" s="89">
        <f>($D32-SUM($E32:E32))/11</f>
        <v>2727.2727272727275</v>
      </c>
      <c r="G32" s="89">
        <f>($D32-SUM($E32:F32))/10</f>
        <v>2727.272727272727</v>
      </c>
      <c r="H32" s="89">
        <f>($D32-SUM($E32:G32))/9</f>
        <v>2727.272727272727</v>
      </c>
      <c r="I32" s="86">
        <f>($D32-SUM($E32:H32))/8</f>
        <v>2727.2727272727275</v>
      </c>
      <c r="J32" s="86">
        <f>($D32-SUM($E32:I32))/7</f>
        <v>2727.2727272727275</v>
      </c>
      <c r="K32" s="86">
        <f>($D32-SUM($E32:J32))/6</f>
        <v>2727.2727272727275</v>
      </c>
      <c r="L32" s="86">
        <f>($D32-SUM($E32:K32))/5</f>
        <v>2727.272727272727</v>
      </c>
      <c r="M32" s="86">
        <f>($D32-SUM($E32:L32))/4</f>
        <v>2727.272727272727</v>
      </c>
      <c r="N32" s="86">
        <f>($D32-SUM($E32:M32))/3</f>
        <v>2727.2727272727266</v>
      </c>
      <c r="O32" s="88">
        <f>($D32-SUM($E32:N32))/2</f>
        <v>2727.2727272727261</v>
      </c>
      <c r="P32" s="88">
        <f>($D32-SUM($E32:O32))/1</f>
        <v>2727.2727272727279</v>
      </c>
      <c r="Q32" s="25">
        <f t="shared" si="8"/>
        <v>30000</v>
      </c>
      <c r="R32" s="84">
        <f t="shared" si="9"/>
        <v>0</v>
      </c>
    </row>
    <row r="33" spans="1:30" ht="13.5" thickBot="1" x14ac:dyDescent="0.25">
      <c r="A33" s="177" t="s">
        <v>129</v>
      </c>
      <c r="B33" s="46" t="s">
        <v>11</v>
      </c>
      <c r="C33" s="27">
        <v>12000</v>
      </c>
      <c r="D33" s="178">
        <v>12000</v>
      </c>
      <c r="E33" s="212">
        <v>0</v>
      </c>
      <c r="F33" s="89">
        <f>($D33-SUM($E33:E33))/11</f>
        <v>1090.909090909091</v>
      </c>
      <c r="G33" s="89">
        <f>($D33-SUM($E33:F33))/10</f>
        <v>1090.9090909090908</v>
      </c>
      <c r="H33" s="89">
        <f>($D33-SUM($E33:G33))/9</f>
        <v>1090.909090909091</v>
      </c>
      <c r="I33" s="86">
        <f>($D33-SUM($E33:H33))/8</f>
        <v>1090.909090909091</v>
      </c>
      <c r="J33" s="86">
        <f>($D33-SUM($E33:I33))/7</f>
        <v>1090.9090909090908</v>
      </c>
      <c r="K33" s="86">
        <f>($D33-SUM($E33:J33))/6</f>
        <v>1090.9090909090908</v>
      </c>
      <c r="L33" s="86">
        <f>($D33-SUM($E33:K33))/5</f>
        <v>1090.9090909090908</v>
      </c>
      <c r="M33" s="86">
        <f>($D33-SUM($E33:L33))/4</f>
        <v>1090.9090909090908</v>
      </c>
      <c r="N33" s="86">
        <f>($D33-SUM($E33:M33))/3</f>
        <v>1090.9090909090908</v>
      </c>
      <c r="O33" s="88">
        <f>($D33-SUM($E33:N33))/2</f>
        <v>1090.909090909091</v>
      </c>
      <c r="P33" s="88">
        <f>($D33-SUM($E33:O33))/1</f>
        <v>1090.9090909090919</v>
      </c>
      <c r="Q33" s="25">
        <f t="shared" ref="Q33:Q34" si="35">SUM(E33:P33)</f>
        <v>12000</v>
      </c>
      <c r="R33" s="84">
        <f t="shared" ref="R33" si="36">Q33-D33</f>
        <v>0</v>
      </c>
    </row>
    <row r="34" spans="1:30" s="2" customFormat="1" ht="13.5" thickBot="1" x14ac:dyDescent="0.25">
      <c r="A34" s="197" t="s">
        <v>136</v>
      </c>
      <c r="B34" s="198" t="s">
        <v>83</v>
      </c>
      <c r="C34" s="201">
        <f t="shared" ref="C34:P34" si="37">SUM(C9:C33)</f>
        <v>2529727</v>
      </c>
      <c r="D34" s="202">
        <f t="shared" si="37"/>
        <v>2532627.5700000003</v>
      </c>
      <c r="E34" s="213">
        <f t="shared" si="37"/>
        <v>220273.7</v>
      </c>
      <c r="F34" s="8">
        <f t="shared" si="37"/>
        <v>203099.88480000006</v>
      </c>
      <c r="G34" s="8">
        <f t="shared" si="37"/>
        <v>129270.67799999997</v>
      </c>
      <c r="H34" s="8">
        <f t="shared" si="37"/>
        <v>227709.62040000007</v>
      </c>
      <c r="I34" s="9">
        <f t="shared" si="37"/>
        <v>215404.75260000007</v>
      </c>
      <c r="J34" s="9">
        <f t="shared" si="37"/>
        <v>227709.62040000007</v>
      </c>
      <c r="K34" s="9">
        <f t="shared" si="37"/>
        <v>227709.62040000007</v>
      </c>
      <c r="L34" s="9">
        <f t="shared" si="37"/>
        <v>227709.62040000007</v>
      </c>
      <c r="M34" s="10">
        <f t="shared" si="37"/>
        <v>129270.67799999997</v>
      </c>
      <c r="N34" s="10">
        <f t="shared" si="37"/>
        <v>153880.41360000003</v>
      </c>
      <c r="O34" s="10">
        <f t="shared" si="37"/>
        <v>313843.69500000007</v>
      </c>
      <c r="P34" s="10">
        <f t="shared" si="37"/>
        <v>256745.28639999995</v>
      </c>
      <c r="Q34" s="25">
        <f t="shared" si="35"/>
        <v>2532627.5700000008</v>
      </c>
      <c r="R34" s="84">
        <f t="shared" si="9"/>
        <v>0</v>
      </c>
      <c r="S34"/>
      <c r="T34"/>
      <c r="U34"/>
      <c r="V34"/>
      <c r="W34"/>
      <c r="X34"/>
      <c r="Y34"/>
      <c r="Z34"/>
      <c r="AA34"/>
      <c r="AB34"/>
      <c r="AC34"/>
      <c r="AD34"/>
    </row>
    <row r="35" spans="1:30" ht="13.5" thickBot="1" x14ac:dyDescent="0.25">
      <c r="A35" s="35"/>
      <c r="B35" s="35"/>
      <c r="C35" s="5"/>
      <c r="D35" s="28"/>
      <c r="E35" s="79" t="s">
        <v>99</v>
      </c>
      <c r="F35" s="11"/>
      <c r="G35" s="11"/>
      <c r="H35" s="11"/>
      <c r="I35" s="12"/>
      <c r="J35" s="12"/>
      <c r="K35" s="12"/>
      <c r="L35" s="12"/>
      <c r="M35" s="13"/>
      <c r="N35" s="13"/>
      <c r="O35" s="13"/>
      <c r="P35" s="13"/>
      <c r="R35" s="84"/>
    </row>
    <row r="36" spans="1:30" x14ac:dyDescent="0.2">
      <c r="A36" s="186" t="s">
        <v>87</v>
      </c>
      <c r="B36" s="187"/>
      <c r="C36" s="155"/>
      <c r="D36" s="156"/>
      <c r="E36" s="80">
        <v>2.9600000000000001E-2</v>
      </c>
      <c r="F36" s="80">
        <v>0.26029999999999998</v>
      </c>
      <c r="G36" s="80">
        <v>7.5700000000000003E-2</v>
      </c>
      <c r="H36" s="80">
        <v>7.1000000000000004E-3</v>
      </c>
      <c r="I36" s="81">
        <v>4.1999999999999997E-3</v>
      </c>
      <c r="J36" s="81">
        <v>1.26E-2</v>
      </c>
      <c r="K36" s="81">
        <v>8.77E-2</v>
      </c>
      <c r="L36" s="81">
        <v>0.37619999999999998</v>
      </c>
      <c r="M36" s="81">
        <v>0.12570000000000001</v>
      </c>
      <c r="N36" s="81">
        <v>1.03E-2</v>
      </c>
      <c r="O36" s="81">
        <v>6.0000000000000001E-3</v>
      </c>
      <c r="P36" s="82">
        <v>4.5999999999999999E-3</v>
      </c>
      <c r="R36" s="84"/>
    </row>
    <row r="37" spans="1:30" x14ac:dyDescent="0.2">
      <c r="A37" s="188" t="s">
        <v>57</v>
      </c>
      <c r="B37" s="63" t="s">
        <v>59</v>
      </c>
      <c r="C37" s="74"/>
      <c r="D37" s="171"/>
      <c r="E37" s="214">
        <f t="shared" ref="E37:G37" si="38">$D$37*E36</f>
        <v>0</v>
      </c>
      <c r="F37" s="87">
        <f t="shared" si="38"/>
        <v>0</v>
      </c>
      <c r="G37" s="87">
        <f t="shared" si="38"/>
        <v>0</v>
      </c>
      <c r="H37" s="87">
        <f t="shared" ref="H37:P37" si="39">$D$37*H36</f>
        <v>0</v>
      </c>
      <c r="I37" s="87">
        <f t="shared" si="39"/>
        <v>0</v>
      </c>
      <c r="J37" s="87">
        <f t="shared" si="39"/>
        <v>0</v>
      </c>
      <c r="K37" s="87">
        <f t="shared" si="39"/>
        <v>0</v>
      </c>
      <c r="L37" s="87">
        <f t="shared" si="39"/>
        <v>0</v>
      </c>
      <c r="M37" s="87">
        <f t="shared" si="39"/>
        <v>0</v>
      </c>
      <c r="N37" s="87">
        <f t="shared" si="39"/>
        <v>0</v>
      </c>
      <c r="O37" s="87">
        <f t="shared" si="39"/>
        <v>0</v>
      </c>
      <c r="P37" s="87">
        <f t="shared" si="39"/>
        <v>0</v>
      </c>
      <c r="Q37" s="25">
        <f t="shared" ref="Q37:Q45" si="40">SUM(E37:P37)</f>
        <v>0</v>
      </c>
      <c r="R37" s="84">
        <f t="shared" si="9"/>
        <v>0</v>
      </c>
    </row>
    <row r="38" spans="1:30" customFormat="1" x14ac:dyDescent="0.2">
      <c r="A38" s="159" t="s">
        <v>38</v>
      </c>
      <c r="B38" s="67" t="s">
        <v>58</v>
      </c>
      <c r="C38" s="31"/>
      <c r="D38" s="169"/>
      <c r="E38" s="212">
        <f t="shared" ref="E38:E42" si="41">($D38)/12</f>
        <v>0</v>
      </c>
      <c r="F38" s="89">
        <f>($D38-SUM($E38:E38))/11</f>
        <v>0</v>
      </c>
      <c r="G38" s="89">
        <f>($D38-SUM($E38:F38))/10</f>
        <v>0</v>
      </c>
      <c r="H38" s="86">
        <v>0</v>
      </c>
      <c r="I38" s="87">
        <v>0</v>
      </c>
      <c r="J38" s="87">
        <f>D38*0.5</f>
        <v>0</v>
      </c>
      <c r="K38" s="87">
        <v>0</v>
      </c>
      <c r="L38" s="87">
        <v>0</v>
      </c>
      <c r="M38" s="87">
        <v>0</v>
      </c>
      <c r="N38" s="87">
        <v>0</v>
      </c>
      <c r="O38" s="90">
        <v>0</v>
      </c>
      <c r="P38" s="90">
        <f>D38-SUM(E38:O38)</f>
        <v>0</v>
      </c>
      <c r="Q38" s="25">
        <f t="shared" si="40"/>
        <v>0</v>
      </c>
      <c r="R38" s="84">
        <f t="shared" si="9"/>
        <v>0</v>
      </c>
    </row>
    <row r="39" spans="1:30" x14ac:dyDescent="0.2">
      <c r="A39" s="159" t="s">
        <v>60</v>
      </c>
      <c r="B39" s="46" t="s">
        <v>61</v>
      </c>
      <c r="C39" s="31">
        <v>7000</v>
      </c>
      <c r="D39" s="169">
        <v>7000</v>
      </c>
      <c r="E39" s="212">
        <v>2289.56</v>
      </c>
      <c r="F39" s="89">
        <f>($D39-SUM($E39:E39))/11</f>
        <v>428.22181818181821</v>
      </c>
      <c r="G39" s="89">
        <f>($D39-SUM($E39:F39))/10</f>
        <v>428.22181818181815</v>
      </c>
      <c r="H39" s="86">
        <f>($D39-SUM($E39:G39))/9</f>
        <v>428.22181818181821</v>
      </c>
      <c r="I39" s="86">
        <f>($D39-SUM($E39:H39))/8</f>
        <v>428.22181818181821</v>
      </c>
      <c r="J39" s="86">
        <f>($D39-SUM($E39:I39))/7</f>
        <v>428.22181818181826</v>
      </c>
      <c r="K39" s="86">
        <f>($D39-SUM($E39:J39))/6</f>
        <v>428.22181818181826</v>
      </c>
      <c r="L39" s="86">
        <f>($D39-SUM($E39:K39))/5</f>
        <v>428.22181818181832</v>
      </c>
      <c r="M39" s="86">
        <f>($D39-SUM($E39:L39))/4</f>
        <v>428.22181818181843</v>
      </c>
      <c r="N39" s="86">
        <f>($D39-SUM($E39:M39))/3</f>
        <v>428.22181818181826</v>
      </c>
      <c r="O39" s="90">
        <f>($D39-SUM($E39:N39))/2</f>
        <v>428.22181818181843</v>
      </c>
      <c r="P39" s="90">
        <f>($D39-SUM($E39:O39))/1</f>
        <v>428.22181818181889</v>
      </c>
      <c r="Q39" s="25">
        <f t="shared" si="40"/>
        <v>7000</v>
      </c>
      <c r="R39" s="84">
        <f t="shared" si="9"/>
        <v>0</v>
      </c>
    </row>
    <row r="40" spans="1:30" x14ac:dyDescent="0.2">
      <c r="A40" s="159" t="s">
        <v>35</v>
      </c>
      <c r="B40" s="46" t="s">
        <v>62</v>
      </c>
      <c r="C40" s="31">
        <v>4500</v>
      </c>
      <c r="D40" s="169">
        <v>9000</v>
      </c>
      <c r="E40" s="212">
        <f>5647.65-46.03</f>
        <v>5601.62</v>
      </c>
      <c r="F40" s="89">
        <f>($D40-SUM($E40:E40))/11</f>
        <v>308.94363636363636</v>
      </c>
      <c r="G40" s="89">
        <f>($D40-SUM($E40:F40))/10</f>
        <v>308.94363636363641</v>
      </c>
      <c r="H40" s="86">
        <f>($D40-SUM($E40:G40))/9</f>
        <v>308.94363636363636</v>
      </c>
      <c r="I40" s="86">
        <f>($D40-SUM($E40:H40))/8</f>
        <v>308.94363636363641</v>
      </c>
      <c r="J40" s="86">
        <f>($D40-SUM($E40:I40))/7</f>
        <v>308.94363636363647</v>
      </c>
      <c r="K40" s="86">
        <f>($D40-SUM($E40:J40))/6</f>
        <v>308.94363636363641</v>
      </c>
      <c r="L40" s="86">
        <f>($D40-SUM($E40:K40))/5</f>
        <v>308.9436363636363</v>
      </c>
      <c r="M40" s="86">
        <f>($D40-SUM($E40:L40))/4</f>
        <v>308.94363636363641</v>
      </c>
      <c r="N40" s="86">
        <f>($D40-SUM($E40:M40))/3</f>
        <v>308.94363636363659</v>
      </c>
      <c r="O40" s="90">
        <f>($D40-SUM($E40:N40))/2</f>
        <v>308.94363636363687</v>
      </c>
      <c r="P40" s="90">
        <f>($D40-SUM($E40:O40))/1</f>
        <v>308.94363636363778</v>
      </c>
      <c r="Q40" s="25">
        <f t="shared" si="40"/>
        <v>9000</v>
      </c>
      <c r="R40" s="84">
        <f t="shared" si="9"/>
        <v>0</v>
      </c>
    </row>
    <row r="41" spans="1:30" x14ac:dyDescent="0.2">
      <c r="A41" s="159">
        <v>635204</v>
      </c>
      <c r="B41" s="46" t="s">
        <v>141</v>
      </c>
      <c r="C41" s="31"/>
      <c r="D41" s="169"/>
      <c r="E41" s="212">
        <f t="shared" si="41"/>
        <v>0</v>
      </c>
      <c r="F41" s="89">
        <f>($D41-SUM($E41:E41))/11</f>
        <v>0</v>
      </c>
      <c r="G41" s="89">
        <f>($D41-SUM($E41:F41))/10</f>
        <v>0</v>
      </c>
      <c r="H41" s="86">
        <f>($D41-SUM($E41:G41))/9</f>
        <v>0</v>
      </c>
      <c r="I41" s="86">
        <f>($D41-SUM($E41:H41))/8</f>
        <v>0</v>
      </c>
      <c r="J41" s="86">
        <f>($D41-SUM($E41:I41))/7</f>
        <v>0</v>
      </c>
      <c r="K41" s="86">
        <f>($D41-SUM($E41:J41))/6</f>
        <v>0</v>
      </c>
      <c r="L41" s="86">
        <f>($D41-SUM($E41:K41))/5</f>
        <v>0</v>
      </c>
      <c r="M41" s="86">
        <f>($D41-SUM($E41:L41))/4</f>
        <v>0</v>
      </c>
      <c r="N41" s="86">
        <f>($D41-SUM($E41:M41))/3</f>
        <v>0</v>
      </c>
      <c r="O41" s="90">
        <f>($D41-SUM($E41:N41))/2</f>
        <v>0</v>
      </c>
      <c r="P41" s="90">
        <f>($D41-SUM($E41:O41))/1</f>
        <v>0</v>
      </c>
      <c r="Q41" s="25">
        <f t="shared" ref="Q41" si="42">SUM(E41:P41)</f>
        <v>0</v>
      </c>
      <c r="R41" s="84">
        <f t="shared" ref="R41" si="43">Q41-D41</f>
        <v>0</v>
      </c>
    </row>
    <row r="42" spans="1:30" x14ac:dyDescent="0.2">
      <c r="A42" s="159" t="s">
        <v>63</v>
      </c>
      <c r="B42" s="46" t="s">
        <v>64</v>
      </c>
      <c r="C42" s="31"/>
      <c r="D42" s="169">
        <v>0</v>
      </c>
      <c r="E42" s="212">
        <f t="shared" si="41"/>
        <v>0</v>
      </c>
      <c r="F42" s="89">
        <f>($D42-SUM($E42:E42))/11</f>
        <v>0</v>
      </c>
      <c r="G42" s="89">
        <f>($D42-SUM($E42:F42))/10</f>
        <v>0</v>
      </c>
      <c r="H42" s="86">
        <f>($D42-SUM($E42:G42))/9</f>
        <v>0</v>
      </c>
      <c r="I42" s="86">
        <f>($D42-SUM($E42:H42))/8</f>
        <v>0</v>
      </c>
      <c r="J42" s="86">
        <f>($D42-SUM($E42:I42))/7</f>
        <v>0</v>
      </c>
      <c r="K42" s="86">
        <f>($D42-SUM($E42:J42))/6</f>
        <v>0</v>
      </c>
      <c r="L42" s="86">
        <f>($D42-SUM($E42:K42))/5</f>
        <v>0</v>
      </c>
      <c r="M42" s="86">
        <f>($D42-SUM($E42:L42))/4</f>
        <v>0</v>
      </c>
      <c r="N42" s="86">
        <f>($D42-SUM($E42:M42))/3</f>
        <v>0</v>
      </c>
      <c r="O42" s="90">
        <f>($D42-SUM($E42:N42))/2</f>
        <v>0</v>
      </c>
      <c r="P42" s="90">
        <f>($D42-SUM($E42:O42))/1</f>
        <v>0</v>
      </c>
      <c r="Q42" s="25">
        <f t="shared" si="40"/>
        <v>0</v>
      </c>
      <c r="R42" s="84">
        <f t="shared" si="9"/>
        <v>0</v>
      </c>
    </row>
    <row r="43" spans="1:30" x14ac:dyDescent="0.2">
      <c r="A43" s="159"/>
      <c r="B43" s="46" t="s">
        <v>65</v>
      </c>
      <c r="C43" s="31"/>
      <c r="D43" s="169"/>
      <c r="E43" s="215">
        <v>0</v>
      </c>
      <c r="F43" s="92"/>
      <c r="G43" s="86"/>
      <c r="H43" s="86"/>
      <c r="I43" s="87"/>
      <c r="J43" s="87"/>
      <c r="K43" s="87"/>
      <c r="L43" s="87"/>
      <c r="M43" s="87"/>
      <c r="N43" s="87"/>
      <c r="O43" s="87"/>
      <c r="P43" s="87"/>
      <c r="Q43" s="25">
        <f t="shared" si="40"/>
        <v>0</v>
      </c>
      <c r="R43" s="84">
        <f t="shared" si="9"/>
        <v>0</v>
      </c>
    </row>
    <row r="44" spans="1:30" ht="13.5" thickBot="1" x14ac:dyDescent="0.25">
      <c r="A44" s="161" t="s">
        <v>101</v>
      </c>
      <c r="B44" s="48" t="s">
        <v>102</v>
      </c>
      <c r="C44" s="31">
        <v>3000</v>
      </c>
      <c r="D44" s="169">
        <v>3000</v>
      </c>
      <c r="E44" s="216"/>
      <c r="F44" s="91"/>
      <c r="G44" s="86"/>
      <c r="H44" s="86"/>
      <c r="I44" s="87"/>
      <c r="J44" s="87"/>
      <c r="K44" s="87"/>
      <c r="L44" s="87"/>
      <c r="M44" s="87"/>
      <c r="N44" s="87"/>
      <c r="O44" s="87"/>
      <c r="P44" s="87">
        <f>D44</f>
        <v>3000</v>
      </c>
      <c r="Q44" s="25">
        <f t="shared" si="40"/>
        <v>3000</v>
      </c>
      <c r="R44" s="84">
        <f t="shared" si="9"/>
        <v>0</v>
      </c>
    </row>
    <row r="45" spans="1:30" ht="13.5" thickBot="1" x14ac:dyDescent="0.25">
      <c r="A45" s="197" t="s">
        <v>0</v>
      </c>
      <c r="B45" s="198" t="s">
        <v>80</v>
      </c>
      <c r="C45" s="199">
        <f>SUM(C34:C44)</f>
        <v>2544227</v>
      </c>
      <c r="D45" s="200">
        <f>SUM(D34:D44)</f>
        <v>2551627.5700000003</v>
      </c>
      <c r="E45" s="217">
        <f t="shared" ref="E45:P45" si="44">SUM(E37:E44)+E34</f>
        <v>228164.88</v>
      </c>
      <c r="F45" s="144">
        <f t="shared" si="44"/>
        <v>203837.05025454552</v>
      </c>
      <c r="G45" s="144">
        <f t="shared" si="44"/>
        <v>130007.84345454542</v>
      </c>
      <c r="H45" s="144">
        <f t="shared" si="44"/>
        <v>228446.78585454554</v>
      </c>
      <c r="I45" s="144">
        <f t="shared" si="44"/>
        <v>216141.91805454553</v>
      </c>
      <c r="J45" s="144">
        <f t="shared" si="44"/>
        <v>228446.78585454554</v>
      </c>
      <c r="K45" s="144">
        <f t="shared" si="44"/>
        <v>228446.78585454554</v>
      </c>
      <c r="L45" s="144">
        <f t="shared" si="44"/>
        <v>228446.78585454554</v>
      </c>
      <c r="M45" s="144">
        <f t="shared" si="44"/>
        <v>130007.84345454542</v>
      </c>
      <c r="N45" s="144">
        <f t="shared" si="44"/>
        <v>154617.57905454549</v>
      </c>
      <c r="O45" s="144">
        <f t="shared" si="44"/>
        <v>314580.86045454553</v>
      </c>
      <c r="P45" s="144">
        <f t="shared" si="44"/>
        <v>260482.45185454542</v>
      </c>
      <c r="Q45" s="25">
        <f t="shared" si="40"/>
        <v>2551627.5700000003</v>
      </c>
      <c r="R45" s="84">
        <f t="shared" si="9"/>
        <v>0</v>
      </c>
    </row>
    <row r="46" spans="1:30" s="132" customFormat="1" ht="19.5" thickBot="1" x14ac:dyDescent="0.35">
      <c r="B46" s="135"/>
      <c r="C46" s="136"/>
      <c r="D46" s="136"/>
      <c r="E46" s="137"/>
      <c r="F46" s="137"/>
      <c r="G46" s="137"/>
      <c r="H46" s="137"/>
      <c r="I46" s="137"/>
      <c r="J46" s="137"/>
      <c r="K46" s="137"/>
      <c r="L46" s="137"/>
      <c r="M46" s="137"/>
      <c r="N46" s="137"/>
      <c r="O46" s="137"/>
      <c r="P46" s="137"/>
      <c r="Q46" s="133"/>
      <c r="R46" s="134"/>
      <c r="S46" s="133"/>
      <c r="T46" s="133"/>
      <c r="U46" s="133"/>
      <c r="V46" s="133"/>
      <c r="W46" s="133"/>
      <c r="X46" s="133"/>
      <c r="Y46" s="133"/>
      <c r="Z46" s="133"/>
      <c r="AA46" s="133"/>
      <c r="AB46" s="133"/>
      <c r="AC46" s="133"/>
      <c r="AD46" s="133"/>
    </row>
    <row r="47" spans="1:30" x14ac:dyDescent="0.2">
      <c r="A47" s="162" t="s">
        <v>18</v>
      </c>
      <c r="B47" s="163"/>
      <c r="C47" s="164" t="s">
        <v>6</v>
      </c>
      <c r="D47" s="165" t="s">
        <v>34</v>
      </c>
      <c r="E47" s="145" t="s">
        <v>7</v>
      </c>
      <c r="F47" s="145" t="s">
        <v>8</v>
      </c>
      <c r="G47" s="145" t="s">
        <v>9</v>
      </c>
      <c r="H47" s="145" t="s">
        <v>10</v>
      </c>
      <c r="I47" s="145" t="s">
        <v>2</v>
      </c>
      <c r="J47" s="145" t="s">
        <v>3</v>
      </c>
      <c r="K47" s="145" t="s">
        <v>4</v>
      </c>
      <c r="L47" s="145" t="s">
        <v>5</v>
      </c>
      <c r="M47" s="146" t="s">
        <v>12</v>
      </c>
      <c r="N47" s="146" t="s">
        <v>13</v>
      </c>
      <c r="O47" s="146" t="s">
        <v>14</v>
      </c>
      <c r="P47" s="147" t="s">
        <v>15</v>
      </c>
      <c r="R47" s="84"/>
    </row>
    <row r="48" spans="1:30" x14ac:dyDescent="0.2">
      <c r="A48" s="41"/>
      <c r="B48" s="35"/>
      <c r="C48" s="30"/>
      <c r="D48" s="166"/>
      <c r="E48" s="17" t="s">
        <v>138</v>
      </c>
      <c r="F48" s="17" t="s">
        <v>126</v>
      </c>
      <c r="G48" s="17" t="s">
        <v>126</v>
      </c>
      <c r="H48" s="17" t="s">
        <v>126</v>
      </c>
      <c r="I48" s="17" t="s">
        <v>126</v>
      </c>
      <c r="J48" s="17" t="s">
        <v>126</v>
      </c>
      <c r="K48" s="17" t="s">
        <v>126</v>
      </c>
      <c r="L48" s="17" t="s">
        <v>126</v>
      </c>
      <c r="M48" s="17" t="s">
        <v>126</v>
      </c>
      <c r="N48" s="17" t="s">
        <v>126</v>
      </c>
      <c r="O48" s="17" t="s">
        <v>126</v>
      </c>
      <c r="P48" s="17" t="s">
        <v>126</v>
      </c>
      <c r="R48" s="84"/>
    </row>
    <row r="49" spans="1:18" x14ac:dyDescent="0.2">
      <c r="A49" s="167" t="s">
        <v>66</v>
      </c>
      <c r="B49" s="67" t="s">
        <v>67</v>
      </c>
      <c r="C49" s="75">
        <v>871962</v>
      </c>
      <c r="D49" s="168">
        <v>871962</v>
      </c>
      <c r="E49" s="218">
        <v>67792.479999999996</v>
      </c>
      <c r="F49" s="87">
        <f>D49/12</f>
        <v>72663.5</v>
      </c>
      <c r="G49" s="87">
        <f>D49/12</f>
        <v>72663.5</v>
      </c>
      <c r="H49" s="87">
        <f>($D49-SUM($E49:G49))/9</f>
        <v>73204.724444444451</v>
      </c>
      <c r="I49" s="87">
        <f>($D49-SUM($E49:H49))/8</f>
        <v>73204.724444444437</v>
      </c>
      <c r="J49" s="87">
        <f>($D49-SUM($E49:I49))/7</f>
        <v>73204.724444444437</v>
      </c>
      <c r="K49" s="87">
        <f>($D49-SUM($E49:J49))/6</f>
        <v>73204.724444444451</v>
      </c>
      <c r="L49" s="87">
        <f>($D49-SUM($E49:K49))/5</f>
        <v>73204.724444444437</v>
      </c>
      <c r="M49" s="87">
        <f>($D49-SUM($E49:L49))/4</f>
        <v>73204.724444444437</v>
      </c>
      <c r="N49" s="87">
        <f>($D49-SUM($E49:M49))/3</f>
        <v>73204.724444444451</v>
      </c>
      <c r="O49" s="87">
        <f>($D49-SUM($E49:N49))/2</f>
        <v>73204.724444444466</v>
      </c>
      <c r="P49" s="88">
        <f>($D49-SUM($E49:O49))</f>
        <v>73204.724444444524</v>
      </c>
      <c r="Q49" s="25">
        <f t="shared" ref="Q49:Q58" si="45">SUM(E49:P49)</f>
        <v>871962</v>
      </c>
      <c r="R49" s="84">
        <f t="shared" si="9"/>
        <v>0</v>
      </c>
    </row>
    <row r="50" spans="1:18" x14ac:dyDescent="0.2">
      <c r="A50" s="167" t="s">
        <v>68</v>
      </c>
      <c r="B50" s="67" t="s">
        <v>69</v>
      </c>
      <c r="C50" s="76">
        <v>603820</v>
      </c>
      <c r="D50" s="168">
        <v>603820</v>
      </c>
      <c r="E50" s="218">
        <v>51546.47</v>
      </c>
      <c r="F50" s="87">
        <f t="shared" ref="F50:F52" si="46">D50/12</f>
        <v>50318.333333333336</v>
      </c>
      <c r="G50" s="87">
        <f t="shared" ref="G50:G52" si="47">D50/12</f>
        <v>50318.333333333336</v>
      </c>
      <c r="H50" s="87">
        <f>($D50-SUM($E50:G50))/9</f>
        <v>50181.873703703699</v>
      </c>
      <c r="I50" s="87">
        <f>($D50-SUM($E50:H50))/8</f>
        <v>50181.873703703706</v>
      </c>
      <c r="J50" s="87">
        <f>($D50-SUM($E50:I50))/7</f>
        <v>50181.873703703699</v>
      </c>
      <c r="K50" s="87">
        <f>($D50-SUM($E50:J50))/6</f>
        <v>50181.873703703699</v>
      </c>
      <c r="L50" s="87">
        <f>($D50-SUM($E50:K50))/5</f>
        <v>50181.873703703706</v>
      </c>
      <c r="M50" s="87">
        <f>($D50-SUM($E50:L50))/4</f>
        <v>50181.873703703706</v>
      </c>
      <c r="N50" s="87">
        <f>($D50-SUM($E50:M50))/3</f>
        <v>50181.873703703714</v>
      </c>
      <c r="O50" s="87">
        <f>($D50-SUM($E50:N50))/2</f>
        <v>50181.873703703721</v>
      </c>
      <c r="P50" s="88">
        <f>($D50-SUM($E50:O50))</f>
        <v>50181.87370370375</v>
      </c>
      <c r="Q50" s="25">
        <f t="shared" si="45"/>
        <v>603820</v>
      </c>
      <c r="R50" s="84">
        <f t="shared" si="9"/>
        <v>0</v>
      </c>
    </row>
    <row r="51" spans="1:18" x14ac:dyDescent="0.2">
      <c r="A51" s="167" t="s">
        <v>70</v>
      </c>
      <c r="B51" s="67" t="s">
        <v>71</v>
      </c>
      <c r="C51" s="75">
        <v>608752</v>
      </c>
      <c r="D51" s="168">
        <v>608752</v>
      </c>
      <c r="E51" s="218">
        <v>23492.49</v>
      </c>
      <c r="F51" s="87">
        <f t="shared" si="46"/>
        <v>50729.333333333336</v>
      </c>
      <c r="G51" s="87">
        <f t="shared" si="47"/>
        <v>50729.333333333336</v>
      </c>
      <c r="H51" s="87">
        <f>($D51-SUM($E51:G51))/9</f>
        <v>53755.649259259255</v>
      </c>
      <c r="I51" s="87">
        <f>($D51-SUM($E51:H51))/8</f>
        <v>53755.649259259255</v>
      </c>
      <c r="J51" s="87">
        <f>($D51-SUM($E51:I51))/7</f>
        <v>53755.649259259262</v>
      </c>
      <c r="K51" s="87">
        <f>($D51-SUM($E51:J51))/6</f>
        <v>53755.649259259255</v>
      </c>
      <c r="L51" s="87">
        <f>($D51-SUM($E51:K51))/5</f>
        <v>53755.649259259248</v>
      </c>
      <c r="M51" s="87">
        <f>($D51-SUM($E51:L51))/4</f>
        <v>53755.649259259255</v>
      </c>
      <c r="N51" s="87">
        <f>($D51-SUM($E51:M51))/3</f>
        <v>53755.649259259262</v>
      </c>
      <c r="O51" s="87">
        <f>($D51-SUM($E51:N51))/2</f>
        <v>53755.649259259255</v>
      </c>
      <c r="P51" s="88">
        <f>($D51-SUM($E51:O51))</f>
        <v>53755.649259259226</v>
      </c>
      <c r="Q51" s="25">
        <f t="shared" si="45"/>
        <v>608752</v>
      </c>
      <c r="R51" s="84">
        <f t="shared" si="9"/>
        <v>0</v>
      </c>
    </row>
    <row r="52" spans="1:18" x14ac:dyDescent="0.2">
      <c r="A52" s="167" t="s">
        <v>72</v>
      </c>
      <c r="B52" s="67" t="s">
        <v>73</v>
      </c>
      <c r="C52" s="76">
        <v>674053</v>
      </c>
      <c r="D52" s="168">
        <v>674053</v>
      </c>
      <c r="E52" s="218">
        <f>39171.76+82002.76+928.46</f>
        <v>122102.98</v>
      </c>
      <c r="F52" s="87">
        <f t="shared" si="46"/>
        <v>56171.083333333336</v>
      </c>
      <c r="G52" s="87">
        <f t="shared" si="47"/>
        <v>56171.083333333336</v>
      </c>
      <c r="H52" s="87">
        <f>($D52-SUM($E52:G52))/9</f>
        <v>48845.317037037035</v>
      </c>
      <c r="I52" s="87">
        <f>($D52-SUM($E52:H52))/8</f>
        <v>48845.317037037035</v>
      </c>
      <c r="J52" s="87">
        <f>($D52-SUM($E52:I52))/7</f>
        <v>48845.317037037035</v>
      </c>
      <c r="K52" s="87">
        <f>($D52-SUM($E52:J52))/6</f>
        <v>48845.317037037028</v>
      </c>
      <c r="L52" s="87">
        <f>($D52-SUM($E52:K52))/5</f>
        <v>48845.317037037028</v>
      </c>
      <c r="M52" s="87">
        <f>($D52-SUM($E52:L52))/4</f>
        <v>48845.317037037021</v>
      </c>
      <c r="N52" s="87">
        <f>($D52-SUM($E52:M52))/3</f>
        <v>48845.317037037028</v>
      </c>
      <c r="O52" s="87">
        <f>($D52-SUM($E52:N52))/2</f>
        <v>48845.31703703705</v>
      </c>
      <c r="P52" s="88">
        <f>($D52-SUM($E52:O52))</f>
        <v>48845.317037037108</v>
      </c>
      <c r="Q52" s="25">
        <f>SUM(E52:P52)</f>
        <v>674053</v>
      </c>
      <c r="R52" s="84">
        <f t="shared" si="9"/>
        <v>0</v>
      </c>
    </row>
    <row r="53" spans="1:18" ht="25.5" x14ac:dyDescent="0.2">
      <c r="A53" s="170" t="s">
        <v>84</v>
      </c>
      <c r="B53" s="48" t="s">
        <v>103</v>
      </c>
      <c r="C53" s="32">
        <v>0</v>
      </c>
      <c r="D53" s="171">
        <v>0</v>
      </c>
      <c r="E53" s="218"/>
      <c r="F53" s="87"/>
      <c r="G53" s="87"/>
      <c r="H53" s="87"/>
      <c r="I53" s="87"/>
      <c r="J53" s="87"/>
      <c r="K53" s="87"/>
      <c r="L53" s="87"/>
      <c r="M53" s="87"/>
      <c r="N53" s="87"/>
      <c r="O53" s="87"/>
      <c r="P53" s="88"/>
      <c r="Q53" s="25">
        <f t="shared" si="45"/>
        <v>0</v>
      </c>
      <c r="R53" s="84">
        <f t="shared" si="9"/>
        <v>0</v>
      </c>
    </row>
    <row r="54" spans="1:18" ht="25.5" x14ac:dyDescent="0.2">
      <c r="A54" s="170" t="s">
        <v>84</v>
      </c>
      <c r="B54" s="48" t="s">
        <v>103</v>
      </c>
      <c r="C54" s="32">
        <v>0</v>
      </c>
      <c r="D54" s="169">
        <v>0</v>
      </c>
      <c r="E54" s="218"/>
      <c r="F54" s="87"/>
      <c r="G54" s="87"/>
      <c r="H54" s="87"/>
      <c r="I54" s="87"/>
      <c r="J54" s="87"/>
      <c r="K54" s="87"/>
      <c r="L54" s="87"/>
      <c r="M54" s="87"/>
      <c r="N54" s="87"/>
      <c r="O54" s="87"/>
      <c r="P54" s="88"/>
      <c r="Q54" s="25">
        <f t="shared" si="45"/>
        <v>0</v>
      </c>
      <c r="R54" s="84">
        <f t="shared" si="9"/>
        <v>0</v>
      </c>
    </row>
    <row r="55" spans="1:18" ht="25.5" x14ac:dyDescent="0.2">
      <c r="A55" s="170" t="s">
        <v>84</v>
      </c>
      <c r="B55" s="48" t="s">
        <v>103</v>
      </c>
      <c r="C55" s="32">
        <v>0</v>
      </c>
      <c r="D55" s="169">
        <v>0</v>
      </c>
      <c r="E55" s="218"/>
      <c r="F55" s="87"/>
      <c r="G55" s="87"/>
      <c r="H55" s="87"/>
      <c r="I55" s="87"/>
      <c r="J55" s="87"/>
      <c r="K55" s="87"/>
      <c r="L55" s="87"/>
      <c r="M55" s="87"/>
      <c r="N55" s="87"/>
      <c r="O55" s="87"/>
      <c r="P55" s="88"/>
      <c r="Q55" s="25">
        <f t="shared" si="45"/>
        <v>0</v>
      </c>
      <c r="R55" s="84">
        <f t="shared" si="9"/>
        <v>0</v>
      </c>
    </row>
    <row r="56" spans="1:18" x14ac:dyDescent="0.2">
      <c r="A56" s="170" t="s">
        <v>92</v>
      </c>
      <c r="B56" s="48" t="s">
        <v>102</v>
      </c>
      <c r="C56" s="32">
        <v>3000</v>
      </c>
      <c r="D56" s="169">
        <v>3000</v>
      </c>
      <c r="E56" s="218"/>
      <c r="F56" s="87"/>
      <c r="G56" s="87"/>
      <c r="H56" s="87"/>
      <c r="I56" s="87"/>
      <c r="J56" s="87"/>
      <c r="K56" s="87"/>
      <c r="L56" s="87"/>
      <c r="M56" s="87"/>
      <c r="N56" s="87"/>
      <c r="O56" s="87"/>
      <c r="P56" s="88">
        <f>($D56-SUM($E56:O56))</f>
        <v>3000</v>
      </c>
      <c r="Q56" s="25">
        <f t="shared" si="45"/>
        <v>3000</v>
      </c>
      <c r="R56" s="84">
        <f t="shared" si="9"/>
        <v>0</v>
      </c>
    </row>
    <row r="57" spans="1:18" ht="13.5" thickBot="1" x14ac:dyDescent="0.25">
      <c r="A57" s="193" t="s">
        <v>74</v>
      </c>
      <c r="B57" s="194" t="s">
        <v>75</v>
      </c>
      <c r="C57" s="195"/>
      <c r="D57" s="196">
        <v>0</v>
      </c>
      <c r="E57" s="218">
        <f t="shared" ref="E57" si="48">$D57/12</f>
        <v>0</v>
      </c>
      <c r="F57" s="87">
        <f>($D57-SUM(E57:$E57))/11</f>
        <v>0</v>
      </c>
      <c r="G57" s="87">
        <f>($D57-SUM($E57:F57))/10</f>
        <v>0</v>
      </c>
      <c r="H57" s="87">
        <f>($D57-SUM($E57:G57))/9</f>
        <v>0</v>
      </c>
      <c r="I57" s="87">
        <f>($D57-SUM($E57:H57))/8</f>
        <v>0</v>
      </c>
      <c r="J57" s="87">
        <f>($D57-SUM($E57:I57))/7</f>
        <v>0</v>
      </c>
      <c r="K57" s="87">
        <f>($D57-SUM($E57:J57))/6</f>
        <v>0</v>
      </c>
      <c r="L57" s="87">
        <f>($D57-SUM($E57:K57))/5</f>
        <v>0</v>
      </c>
      <c r="M57" s="87">
        <f>($D57-SUM($E57:L57))/4</f>
        <v>0</v>
      </c>
      <c r="N57" s="87">
        <f>($D57-SUM($E57:M57))/3</f>
        <v>0</v>
      </c>
      <c r="O57" s="87">
        <f>($D57-SUM($E57:N57))/2</f>
        <v>0</v>
      </c>
      <c r="P57" s="88">
        <f>($D57-SUM($E57:O57))</f>
        <v>0</v>
      </c>
      <c r="Q57" s="25">
        <f t="shared" si="45"/>
        <v>0</v>
      </c>
      <c r="R57" s="84">
        <f t="shared" si="9"/>
        <v>0</v>
      </c>
    </row>
    <row r="58" spans="1:18" ht="13.5" thickBot="1" x14ac:dyDescent="0.25">
      <c r="A58" s="189" t="s">
        <v>76</v>
      </c>
      <c r="B58" s="190" t="s">
        <v>80</v>
      </c>
      <c r="C58" s="191">
        <f t="shared" ref="C58:P58" si="49">SUM(C49:C57)</f>
        <v>2761587</v>
      </c>
      <c r="D58" s="192">
        <f t="shared" si="49"/>
        <v>2761587</v>
      </c>
      <c r="E58" s="144">
        <f t="shared" si="49"/>
        <v>264934.42</v>
      </c>
      <c r="F58" s="138">
        <f t="shared" si="49"/>
        <v>229882.25000000003</v>
      </c>
      <c r="G58" s="138">
        <f t="shared" si="49"/>
        <v>229882.25000000003</v>
      </c>
      <c r="H58" s="138">
        <f t="shared" si="49"/>
        <v>225987.56444444443</v>
      </c>
      <c r="I58" s="139">
        <f t="shared" si="49"/>
        <v>225987.56444444443</v>
      </c>
      <c r="J58" s="139">
        <f t="shared" si="49"/>
        <v>225987.56444444443</v>
      </c>
      <c r="K58" s="139">
        <f t="shared" si="49"/>
        <v>225987.56444444443</v>
      </c>
      <c r="L58" s="139">
        <f t="shared" si="49"/>
        <v>225987.5644444444</v>
      </c>
      <c r="M58" s="139">
        <f t="shared" si="49"/>
        <v>225987.5644444444</v>
      </c>
      <c r="N58" s="139">
        <f t="shared" si="49"/>
        <v>225987.56444444443</v>
      </c>
      <c r="O58" s="139">
        <f t="shared" si="49"/>
        <v>225987.56444444449</v>
      </c>
      <c r="P58" s="139">
        <f t="shared" si="49"/>
        <v>228987.56444444461</v>
      </c>
      <c r="Q58" s="25">
        <f t="shared" si="45"/>
        <v>2761587</v>
      </c>
      <c r="R58" s="84">
        <f t="shared" si="9"/>
        <v>0</v>
      </c>
    </row>
    <row r="59" spans="1:18" ht="13.5" thickBot="1" x14ac:dyDescent="0.25">
      <c r="A59" s="35"/>
      <c r="B59" s="35"/>
      <c r="C59" s="28"/>
      <c r="D59" s="5"/>
      <c r="E59" s="5"/>
      <c r="F59" s="5"/>
      <c r="G59" s="6"/>
      <c r="H59" s="6"/>
      <c r="I59" s="7"/>
      <c r="J59" s="5"/>
      <c r="K59" s="6"/>
      <c r="L59" s="6"/>
      <c r="M59" s="3"/>
      <c r="N59" s="3"/>
      <c r="O59" s="3"/>
      <c r="P59" s="3"/>
    </row>
    <row r="60" spans="1:18" ht="25.5" x14ac:dyDescent="0.2">
      <c r="A60" s="153" t="s">
        <v>43</v>
      </c>
      <c r="B60" s="154"/>
      <c r="C60" s="155">
        <v>451000</v>
      </c>
      <c r="D60" s="156">
        <v>560143</v>
      </c>
      <c r="E60" s="148">
        <f>+D60</f>
        <v>560143</v>
      </c>
      <c r="F60" s="104">
        <f t="shared" ref="F60:P60" si="50">+E65</f>
        <v>523373.46</v>
      </c>
      <c r="G60" s="104">
        <f t="shared" si="50"/>
        <v>497328.2602545456</v>
      </c>
      <c r="H60" s="104">
        <f t="shared" si="50"/>
        <v>397453.85370909097</v>
      </c>
      <c r="I60" s="104">
        <f t="shared" si="50"/>
        <v>399913.07511919207</v>
      </c>
      <c r="J60" s="104">
        <f t="shared" si="50"/>
        <v>390067.42872929311</v>
      </c>
      <c r="K60" s="104">
        <f t="shared" si="50"/>
        <v>392526.65013939416</v>
      </c>
      <c r="L60" s="104">
        <f t="shared" si="50"/>
        <v>394985.8715494952</v>
      </c>
      <c r="M60" s="105">
        <f t="shared" si="50"/>
        <v>397445.09295959631</v>
      </c>
      <c r="N60" s="105">
        <f t="shared" si="50"/>
        <v>301465.3719696973</v>
      </c>
      <c r="O60" s="105">
        <f t="shared" si="50"/>
        <v>230095.38657979836</v>
      </c>
      <c r="P60" s="106">
        <f t="shared" si="50"/>
        <v>318688.6825898994</v>
      </c>
    </row>
    <row r="61" spans="1:18" x14ac:dyDescent="0.2">
      <c r="A61" s="157" t="s">
        <v>36</v>
      </c>
      <c r="B61" s="67"/>
      <c r="C61" s="151">
        <f>+C45</f>
        <v>2544227</v>
      </c>
      <c r="D61" s="158">
        <f>+D45</f>
        <v>2551627.5700000003</v>
      </c>
      <c r="E61" s="149">
        <f>+E45</f>
        <v>228164.88</v>
      </c>
      <c r="F61" s="47">
        <f>+F45</f>
        <v>203837.05025454552</v>
      </c>
      <c r="G61" s="47">
        <f>+G45</f>
        <v>130007.84345454542</v>
      </c>
      <c r="H61" s="47">
        <f>+H45</f>
        <v>228446.78585454554</v>
      </c>
      <c r="I61" s="47">
        <f>+I45</f>
        <v>216141.91805454553</v>
      </c>
      <c r="J61" s="47">
        <f>+J45</f>
        <v>228446.78585454554</v>
      </c>
      <c r="K61" s="47">
        <f>+K45</f>
        <v>228446.78585454554</v>
      </c>
      <c r="L61" s="47">
        <f>+L45</f>
        <v>228446.78585454554</v>
      </c>
      <c r="M61" s="106">
        <f>+M45</f>
        <v>130007.84345454542</v>
      </c>
      <c r="N61" s="106">
        <f>+N45</f>
        <v>154617.57905454549</v>
      </c>
      <c r="O61" s="106">
        <f>+O45</f>
        <v>314580.86045454553</v>
      </c>
      <c r="P61" s="106">
        <f>+P45</f>
        <v>260482.45185454542</v>
      </c>
    </row>
    <row r="62" spans="1:18" x14ac:dyDescent="0.2">
      <c r="A62" s="157" t="s">
        <v>37</v>
      </c>
      <c r="B62" s="67"/>
      <c r="C62" s="151">
        <f>-C58</f>
        <v>-2761587</v>
      </c>
      <c r="D62" s="158">
        <f>-D58</f>
        <v>-2761587</v>
      </c>
      <c r="E62" s="149">
        <f>-E58</f>
        <v>-264934.42</v>
      </c>
      <c r="F62" s="47">
        <f>-F58</f>
        <v>-229882.25000000003</v>
      </c>
      <c r="G62" s="47">
        <f>-G58</f>
        <v>-229882.25000000003</v>
      </c>
      <c r="H62" s="47">
        <f>-H58</f>
        <v>-225987.56444444443</v>
      </c>
      <c r="I62" s="47">
        <f>-I58</f>
        <v>-225987.56444444443</v>
      </c>
      <c r="J62" s="47">
        <f>-J58</f>
        <v>-225987.56444444443</v>
      </c>
      <c r="K62" s="47">
        <f>-K58</f>
        <v>-225987.56444444443</v>
      </c>
      <c r="L62" s="47">
        <f>-L58</f>
        <v>-225987.5644444444</v>
      </c>
      <c r="M62" s="106">
        <f>-M58</f>
        <v>-225987.5644444444</v>
      </c>
      <c r="N62" s="106">
        <f>-N58</f>
        <v>-225987.56444444443</v>
      </c>
      <c r="O62" s="106">
        <f>-O58</f>
        <v>-225987.56444444449</v>
      </c>
      <c r="P62" s="106">
        <f>-P58</f>
        <v>-228987.56444444461</v>
      </c>
    </row>
    <row r="63" spans="1:18" x14ac:dyDescent="0.2">
      <c r="A63" s="159" t="s">
        <v>77</v>
      </c>
      <c r="B63" s="152" t="s">
        <v>78</v>
      </c>
      <c r="C63" s="151">
        <f>-C59</f>
        <v>0</v>
      </c>
      <c r="D63" s="160">
        <f>-D59</f>
        <v>0</v>
      </c>
      <c r="E63" s="150">
        <v>0</v>
      </c>
      <c r="F63" s="107">
        <v>0</v>
      </c>
      <c r="G63" s="107">
        <v>0</v>
      </c>
      <c r="H63" s="107">
        <v>0</v>
      </c>
      <c r="I63" s="107">
        <v>0</v>
      </c>
      <c r="J63" s="107">
        <v>0</v>
      </c>
      <c r="K63" s="107">
        <v>0</v>
      </c>
      <c r="L63" s="107">
        <v>0</v>
      </c>
      <c r="M63" s="108">
        <v>0</v>
      </c>
      <c r="N63" s="108">
        <v>0</v>
      </c>
      <c r="O63" s="108">
        <v>0</v>
      </c>
      <c r="P63" s="108">
        <v>0</v>
      </c>
    </row>
    <row r="64" spans="1:18" x14ac:dyDescent="0.2">
      <c r="A64" s="161" t="s">
        <v>79</v>
      </c>
      <c r="B64" s="48" t="s">
        <v>65</v>
      </c>
      <c r="C64" s="151">
        <f>+C63</f>
        <v>0</v>
      </c>
      <c r="D64" s="158">
        <f>+D63</f>
        <v>0</v>
      </c>
      <c r="E64" s="149"/>
      <c r="F64" s="104"/>
      <c r="G64" s="104"/>
      <c r="H64" s="109"/>
      <c r="I64" s="109"/>
      <c r="J64" s="109"/>
      <c r="K64" s="109"/>
      <c r="L64" s="109"/>
      <c r="M64" s="110"/>
      <c r="N64" s="110"/>
      <c r="O64" s="110"/>
      <c r="P64" s="110"/>
    </row>
    <row r="65" spans="1:30" ht="25.5" x14ac:dyDescent="0.2">
      <c r="A65" s="203" t="s">
        <v>108</v>
      </c>
      <c r="B65" s="184" t="s">
        <v>80</v>
      </c>
      <c r="C65" s="185">
        <f>SUM(C60:C64)</f>
        <v>233640</v>
      </c>
      <c r="D65" s="204">
        <f>SUM(D60:D64)</f>
        <v>350183.5700000003</v>
      </c>
      <c r="E65" s="141">
        <f t="shared" ref="E65:P65" si="51">SUM(E60:E64)</f>
        <v>523373.46</v>
      </c>
      <c r="F65" s="141">
        <f t="shared" si="51"/>
        <v>497328.2602545456</v>
      </c>
      <c r="G65" s="141">
        <f t="shared" si="51"/>
        <v>397453.85370909097</v>
      </c>
      <c r="H65" s="141">
        <f t="shared" si="51"/>
        <v>399913.07511919207</v>
      </c>
      <c r="I65" s="140">
        <f t="shared" si="51"/>
        <v>390067.42872929311</v>
      </c>
      <c r="J65" s="140">
        <f t="shared" si="51"/>
        <v>392526.65013939416</v>
      </c>
      <c r="K65" s="140">
        <f t="shared" si="51"/>
        <v>394985.8715494952</v>
      </c>
      <c r="L65" s="140">
        <f t="shared" si="51"/>
        <v>397445.09295959631</v>
      </c>
      <c r="M65" s="142">
        <f t="shared" si="51"/>
        <v>301465.3719696973</v>
      </c>
      <c r="N65" s="142">
        <f t="shared" si="51"/>
        <v>230095.38657979836</v>
      </c>
      <c r="O65" s="142">
        <f t="shared" si="51"/>
        <v>318688.6825898994</v>
      </c>
      <c r="P65" s="143">
        <f t="shared" si="51"/>
        <v>350183.57000000018</v>
      </c>
    </row>
    <row r="66" spans="1:30" x14ac:dyDescent="0.2">
      <c r="A66" s="39"/>
      <c r="B66" s="39"/>
      <c r="C66" s="45"/>
      <c r="D66" s="45"/>
      <c r="E66" s="45"/>
      <c r="F66" s="45"/>
      <c r="G66" s="45"/>
      <c r="H66" s="45"/>
      <c r="I66" s="45"/>
      <c r="J66" s="45"/>
      <c r="K66" s="45"/>
      <c r="L66" s="45"/>
      <c r="M66" s="50"/>
      <c r="N66" s="50"/>
      <c r="O66" s="50"/>
      <c r="P66" s="50"/>
    </row>
    <row r="67" spans="1:30" ht="15" customHeight="1" x14ac:dyDescent="0.2">
      <c r="B67" s="37"/>
      <c r="C67"/>
      <c r="D67"/>
      <c r="E67"/>
      <c r="F67"/>
      <c r="G67"/>
    </row>
    <row r="68" spans="1:30" ht="15" customHeight="1" x14ac:dyDescent="0.2">
      <c r="A68" s="59"/>
      <c r="B68" s="43" t="s">
        <v>81</v>
      </c>
      <c r="C68"/>
      <c r="D68"/>
      <c r="E68"/>
      <c r="F68"/>
      <c r="G68"/>
      <c r="H68" s="42"/>
    </row>
    <row r="69" spans="1:30" ht="15" customHeight="1" x14ac:dyDescent="0.2">
      <c r="A69" s="85"/>
      <c r="B69" s="23" t="s">
        <v>82</v>
      </c>
      <c r="C69"/>
      <c r="D69"/>
      <c r="E69"/>
      <c r="F69"/>
      <c r="G69"/>
      <c r="H69" s="42"/>
    </row>
    <row r="70" spans="1:30" ht="16.5" customHeight="1" x14ac:dyDescent="0.2">
      <c r="A70" s="60"/>
      <c r="B70" s="43" t="s">
        <v>123</v>
      </c>
      <c r="C70"/>
      <c r="D70"/>
      <c r="E70"/>
      <c r="F70"/>
      <c r="G70"/>
      <c r="H70" s="42"/>
    </row>
    <row r="71" spans="1:30" ht="16.5" customHeight="1" thickBot="1" x14ac:dyDescent="0.25">
      <c r="A71" s="12"/>
      <c r="B71" s="4"/>
      <c r="C71"/>
      <c r="D71"/>
      <c r="E71"/>
      <c r="F71"/>
      <c r="G71"/>
      <c r="H71" s="42"/>
    </row>
    <row r="72" spans="1:30" s="123" customFormat="1" ht="27.75" customHeight="1" x14ac:dyDescent="0.25">
      <c r="A72" s="118" t="s">
        <v>89</v>
      </c>
      <c r="B72" s="119"/>
      <c r="C72" s="119"/>
      <c r="D72" s="119"/>
      <c r="E72" s="119"/>
      <c r="F72" s="119"/>
      <c r="G72" s="119"/>
      <c r="H72" s="120"/>
      <c r="I72" s="121"/>
      <c r="J72" s="121"/>
      <c r="K72" s="121"/>
      <c r="L72" s="121"/>
      <c r="M72" s="121"/>
      <c r="N72" s="121"/>
      <c r="O72" s="121"/>
      <c r="P72" s="122"/>
      <c r="Q72" s="44"/>
      <c r="R72" s="44"/>
      <c r="S72" s="44"/>
      <c r="T72" s="44"/>
      <c r="U72" s="44"/>
      <c r="V72" s="44"/>
      <c r="W72" s="44"/>
      <c r="X72" s="44"/>
      <c r="Y72" s="44"/>
      <c r="Z72" s="44"/>
      <c r="AA72" s="44"/>
      <c r="AB72" s="44"/>
      <c r="AC72" s="44"/>
      <c r="AD72" s="44"/>
    </row>
    <row r="73" spans="1:30" s="123" customFormat="1" ht="27.75" customHeight="1" x14ac:dyDescent="0.25">
      <c r="A73" s="124" t="s">
        <v>56</v>
      </c>
      <c r="B73" s="44"/>
      <c r="C73" s="44"/>
      <c r="D73" s="44"/>
      <c r="E73" s="44"/>
      <c r="F73" s="44"/>
      <c r="G73" s="44"/>
      <c r="H73" s="125"/>
      <c r="P73" s="126"/>
      <c r="Q73" s="44"/>
      <c r="R73" s="44"/>
      <c r="S73" s="44"/>
      <c r="T73" s="44"/>
      <c r="U73" s="44"/>
      <c r="V73" s="44"/>
      <c r="W73" s="44"/>
      <c r="X73" s="44"/>
      <c r="Y73" s="44"/>
      <c r="Z73" s="44"/>
      <c r="AA73" s="44"/>
      <c r="AB73" s="44"/>
      <c r="AC73" s="44"/>
      <c r="AD73" s="44"/>
    </row>
    <row r="74" spans="1:30" s="123" customFormat="1" ht="30" customHeight="1" x14ac:dyDescent="0.25">
      <c r="A74" s="124" t="s">
        <v>90</v>
      </c>
      <c r="B74" s="44"/>
      <c r="C74" s="44"/>
      <c r="D74" s="125"/>
      <c r="E74" s="125"/>
      <c r="F74" s="125"/>
      <c r="G74" s="125"/>
      <c r="H74" s="125"/>
      <c r="P74" s="126"/>
      <c r="Q74" s="44"/>
      <c r="R74" s="44"/>
      <c r="S74" s="44"/>
      <c r="T74" s="44"/>
      <c r="U74" s="44"/>
      <c r="V74" s="44"/>
      <c r="W74" s="44"/>
      <c r="X74" s="44"/>
      <c r="Y74" s="44"/>
      <c r="Z74" s="44"/>
      <c r="AA74" s="44"/>
      <c r="AB74" s="44"/>
      <c r="AC74" s="44"/>
      <c r="AD74" s="44"/>
    </row>
    <row r="75" spans="1:30" s="123" customFormat="1" ht="34.5" customHeight="1" x14ac:dyDescent="0.25">
      <c r="A75" s="124" t="s">
        <v>120</v>
      </c>
      <c r="B75" s="44"/>
      <c r="C75" s="44"/>
      <c r="D75" s="44"/>
      <c r="E75" s="44"/>
      <c r="F75" s="44"/>
      <c r="G75" s="44"/>
      <c r="H75" s="125"/>
      <c r="P75" s="126"/>
      <c r="Q75" s="44"/>
      <c r="R75" s="44"/>
      <c r="S75" s="44"/>
      <c r="T75" s="44"/>
      <c r="U75" s="44"/>
      <c r="V75" s="44"/>
      <c r="W75" s="44"/>
      <c r="X75" s="44"/>
      <c r="Y75" s="44"/>
      <c r="Z75" s="44"/>
      <c r="AA75" s="44"/>
      <c r="AB75" s="44"/>
      <c r="AC75" s="44"/>
      <c r="AD75" s="44"/>
    </row>
    <row r="76" spans="1:30" s="123" customFormat="1" ht="32.25" customHeight="1" x14ac:dyDescent="0.25">
      <c r="A76" s="124" t="s">
        <v>86</v>
      </c>
      <c r="B76" s="44"/>
      <c r="C76" s="44"/>
      <c r="D76" s="44"/>
      <c r="E76" s="44"/>
      <c r="F76" s="44"/>
      <c r="G76" s="44"/>
      <c r="H76" s="125"/>
      <c r="P76" s="126"/>
      <c r="Q76" s="44"/>
      <c r="R76" s="44"/>
      <c r="S76" s="44"/>
      <c r="T76" s="44"/>
      <c r="U76" s="44"/>
      <c r="V76" s="44"/>
      <c r="W76" s="44"/>
      <c r="X76" s="44"/>
      <c r="Y76" s="44"/>
      <c r="Z76" s="44"/>
      <c r="AA76" s="44"/>
      <c r="AB76" s="44"/>
      <c r="AC76" s="44"/>
      <c r="AD76" s="44"/>
    </row>
    <row r="77" spans="1:30" s="49" customFormat="1" ht="27.6" customHeight="1" thickBot="1" x14ac:dyDescent="0.25">
      <c r="A77" s="127" t="s">
        <v>91</v>
      </c>
      <c r="B77" s="128"/>
      <c r="C77" s="128"/>
      <c r="D77" s="128"/>
      <c r="E77" s="128"/>
      <c r="F77" s="128"/>
      <c r="G77" s="128"/>
      <c r="H77" s="129"/>
      <c r="I77" s="130"/>
      <c r="J77" s="130"/>
      <c r="K77" s="130"/>
      <c r="L77" s="130"/>
      <c r="M77" s="130"/>
      <c r="N77" s="130"/>
      <c r="O77" s="130"/>
      <c r="P77" s="131"/>
      <c r="Q77" s="43"/>
      <c r="R77" s="43"/>
      <c r="S77" s="43"/>
      <c r="T77" s="43"/>
      <c r="U77" s="43"/>
      <c r="V77" s="43"/>
      <c r="W77" s="43"/>
      <c r="X77" s="43"/>
      <c r="Y77" s="43"/>
      <c r="Z77" s="43"/>
      <c r="AA77" s="43"/>
      <c r="AB77" s="43"/>
      <c r="AC77" s="43"/>
      <c r="AD77" s="43"/>
    </row>
    <row r="78" spans="1:30" ht="13.5" customHeight="1" x14ac:dyDescent="0.2">
      <c r="A78" s="1"/>
      <c r="B78"/>
      <c r="C78"/>
      <c r="D78" s="42"/>
      <c r="E78" s="42"/>
      <c r="F78" s="42"/>
      <c r="G78" s="42"/>
      <c r="H78" s="42"/>
    </row>
    <row r="79" spans="1:30" ht="13.5" customHeight="1" x14ac:dyDescent="0.2">
      <c r="B79" s="37"/>
      <c r="C79"/>
    </row>
    <row r="80" spans="1:30" ht="13.5" customHeight="1" x14ac:dyDescent="0.2">
      <c r="B80" s="37"/>
      <c r="C80"/>
    </row>
    <row r="81" spans="2:3" ht="13.5" customHeight="1" x14ac:dyDescent="0.2">
      <c r="B81" s="37"/>
      <c r="C81"/>
    </row>
    <row r="82" spans="2:3" ht="15" customHeight="1" x14ac:dyDescent="0.2">
      <c r="B82" s="37"/>
      <c r="C82"/>
    </row>
    <row r="83" spans="2:3" ht="12.75" customHeight="1" x14ac:dyDescent="0.2">
      <c r="B83" s="37"/>
      <c r="C83"/>
    </row>
    <row r="84" spans="2:3" ht="15" customHeight="1" x14ac:dyDescent="0.2">
      <c r="B84" s="37"/>
      <c r="C84"/>
    </row>
    <row r="85" spans="2:3" ht="15" customHeight="1" x14ac:dyDescent="0.2">
      <c r="B85" s="37"/>
      <c r="C85"/>
    </row>
    <row r="86" spans="2:3" ht="12" customHeight="1" x14ac:dyDescent="0.2">
      <c r="B86" s="37"/>
      <c r="C86"/>
    </row>
    <row r="87" spans="2:3" ht="14.25" customHeight="1" x14ac:dyDescent="0.2">
      <c r="B87" s="37"/>
      <c r="C87"/>
    </row>
    <row r="88" spans="2:3" ht="12.75" customHeight="1" x14ac:dyDescent="0.2">
      <c r="B88" s="37"/>
      <c r="C88"/>
    </row>
    <row r="89" spans="2:3" ht="12.75" customHeight="1" x14ac:dyDescent="0.2">
      <c r="B89" s="37"/>
      <c r="C89"/>
    </row>
    <row r="90" spans="2:3" ht="12.75" customHeight="1" x14ac:dyDescent="0.2">
      <c r="B90" s="37"/>
      <c r="C90"/>
    </row>
    <row r="91" spans="2:3" ht="12.75" customHeight="1" x14ac:dyDescent="0.2">
      <c r="B91" s="37"/>
      <c r="C91"/>
    </row>
    <row r="92" spans="2:3" ht="12.75" customHeight="1" x14ac:dyDescent="0.2">
      <c r="B92" s="37"/>
      <c r="C92"/>
    </row>
    <row r="93" spans="2:3" x14ac:dyDescent="0.2">
      <c r="B93" s="37"/>
      <c r="C93"/>
    </row>
    <row r="94" spans="2:3" x14ac:dyDescent="0.2">
      <c r="B94" s="37"/>
      <c r="C94"/>
    </row>
  </sheetData>
  <phoneticPr fontId="0" type="noConversion"/>
  <conditionalFormatting sqref="E9:P66">
    <cfRule type="cellIs" dxfId="2" priority="1" operator="lessThan">
      <formula>0</formula>
    </cfRule>
  </conditionalFormatting>
  <conditionalFormatting sqref="Q9:Q24 Q26:Q34 Q37:Q45">
    <cfRule type="cellIs" dxfId="1" priority="4" stopIfTrue="1" operator="notEqual">
      <formula>$D$9</formula>
    </cfRule>
  </conditionalFormatting>
  <conditionalFormatting sqref="Q49:Q58">
    <cfRule type="cellIs" dxfId="0" priority="9" stopIfTrue="1" operator="notEqual">
      <formula>$D$9</formula>
    </cfRule>
  </conditionalFormatting>
  <pageMargins left="0.43" right="0.46" top="0.4" bottom="0.3" header="0.38" footer="0.41"/>
  <pageSetup paperSize="5" scale="41"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9"/>
  <sheetViews>
    <sheetView workbookViewId="0">
      <selection activeCell="A29" sqref="A29"/>
    </sheetView>
  </sheetViews>
  <sheetFormatPr defaultRowHeight="12.75" x14ac:dyDescent="0.2"/>
  <cols>
    <col min="1" max="1" width="33.85546875" customWidth="1"/>
    <col min="2" max="2" width="16.5703125" bestFit="1" customWidth="1"/>
    <col min="3" max="3" width="18.5703125" bestFit="1" customWidth="1"/>
    <col min="4" max="4" width="15.85546875" bestFit="1" customWidth="1"/>
    <col min="5" max="5" width="12.85546875" bestFit="1" customWidth="1"/>
    <col min="6" max="7" width="15.140625" bestFit="1" customWidth="1"/>
    <col min="8" max="15" width="21.85546875" customWidth="1"/>
    <col min="16" max="16" width="11.5703125" bestFit="1" customWidth="1"/>
  </cols>
  <sheetData>
    <row r="1" spans="1:29" x14ac:dyDescent="0.2">
      <c r="A1" s="43" t="str">
        <f>'Fund Balance Projection'!A1</f>
        <v xml:space="preserve"> North River School District</v>
      </c>
    </row>
    <row r="2" spans="1:29" ht="13.5" thickBot="1" x14ac:dyDescent="0.25"/>
    <row r="3" spans="1:29" s="1" customFormat="1" x14ac:dyDescent="0.2">
      <c r="A3" s="34" t="s">
        <v>111</v>
      </c>
      <c r="B3" s="93" t="s">
        <v>17</v>
      </c>
      <c r="C3" s="94" t="s">
        <v>28</v>
      </c>
      <c r="D3" s="26" t="s">
        <v>7</v>
      </c>
      <c r="E3" s="26" t="s">
        <v>8</v>
      </c>
      <c r="F3" s="26" t="s">
        <v>112</v>
      </c>
      <c r="G3" s="26" t="s">
        <v>113</v>
      </c>
      <c r="H3" s="17" t="s">
        <v>114</v>
      </c>
      <c r="I3" s="17" t="s">
        <v>3</v>
      </c>
      <c r="J3" s="17" t="s">
        <v>115</v>
      </c>
      <c r="K3" s="17" t="s">
        <v>116</v>
      </c>
      <c r="L3" s="20" t="s">
        <v>12</v>
      </c>
      <c r="M3" s="20" t="s">
        <v>13</v>
      </c>
      <c r="N3" s="20" t="s">
        <v>117</v>
      </c>
      <c r="O3" s="21" t="s">
        <v>118</v>
      </c>
      <c r="P3" s="24" t="s">
        <v>40</v>
      </c>
      <c r="Q3"/>
      <c r="R3"/>
      <c r="S3"/>
      <c r="T3"/>
      <c r="U3"/>
      <c r="V3"/>
      <c r="W3"/>
      <c r="X3"/>
      <c r="Y3"/>
      <c r="Z3"/>
      <c r="AA3"/>
      <c r="AB3"/>
      <c r="AC3"/>
    </row>
    <row r="4" spans="1:29" s="1" customFormat="1" x14ac:dyDescent="0.2">
      <c r="A4" s="35"/>
      <c r="B4" s="95" t="s">
        <v>6</v>
      </c>
      <c r="C4" s="96" t="s">
        <v>109</v>
      </c>
      <c r="D4" s="17" t="str">
        <f>'Fund Balance Projection'!E7</f>
        <v>Actual</v>
      </c>
      <c r="E4" s="17" t="str">
        <f>'Fund Balance Projection'!F7</f>
        <v>Estimate</v>
      </c>
      <c r="F4" s="17" t="str">
        <f>'Fund Balance Projection'!G7</f>
        <v>Estimate</v>
      </c>
      <c r="G4" s="17" t="str">
        <f>'Fund Balance Projection'!H7</f>
        <v>Estimate</v>
      </c>
      <c r="H4" s="17" t="str">
        <f>'Fund Balance Projection'!I7</f>
        <v>Estimate</v>
      </c>
      <c r="I4" s="17" t="str">
        <f>'Fund Balance Projection'!J7</f>
        <v>Estimate</v>
      </c>
      <c r="J4" s="17" t="str">
        <f>'Fund Balance Projection'!K7</f>
        <v>Estimate</v>
      </c>
      <c r="K4" s="17" t="str">
        <f>'Fund Balance Projection'!L7</f>
        <v>Estimate</v>
      </c>
      <c r="L4" s="17" t="str">
        <f>'Fund Balance Projection'!M7</f>
        <v>Estimate</v>
      </c>
      <c r="M4" s="17" t="str">
        <f>'Fund Balance Projection'!N7</f>
        <v>Estimate</v>
      </c>
      <c r="N4" s="17" t="str">
        <f>'Fund Balance Projection'!O7</f>
        <v>Estimate</v>
      </c>
      <c r="O4" s="17" t="str">
        <f>'Fund Balance Projection'!P7</f>
        <v>Estimate</v>
      </c>
      <c r="P4"/>
      <c r="Q4"/>
      <c r="R4"/>
      <c r="S4"/>
      <c r="T4"/>
      <c r="U4"/>
      <c r="V4"/>
      <c r="W4"/>
      <c r="X4"/>
      <c r="Y4"/>
      <c r="Z4"/>
      <c r="AA4"/>
      <c r="AB4"/>
      <c r="AC4"/>
    </row>
    <row r="5" spans="1:29" s="1" customFormat="1" ht="19.5" customHeight="1" x14ac:dyDescent="0.2">
      <c r="A5" s="40" t="s">
        <v>42</v>
      </c>
      <c r="B5" s="97">
        <f>'Fund Balance Projection'!C5</f>
        <v>46</v>
      </c>
      <c r="C5" s="98">
        <f>'Fund Balance Projection'!D5</f>
        <v>46</v>
      </c>
      <c r="D5" s="111">
        <f>'Fund Balance Projection'!E5</f>
        <v>48.75</v>
      </c>
      <c r="E5" s="111">
        <f>'Fund Balance Projection'!F5</f>
        <v>0</v>
      </c>
      <c r="F5" s="111">
        <f>'Fund Balance Projection'!G5</f>
        <v>0</v>
      </c>
      <c r="G5" s="111">
        <f>'Fund Balance Projection'!H5</f>
        <v>0</v>
      </c>
      <c r="H5" s="111">
        <f>'Fund Balance Projection'!I5</f>
        <v>0</v>
      </c>
      <c r="I5" s="111">
        <f>'Fund Balance Projection'!J5</f>
        <v>0</v>
      </c>
      <c r="J5" s="111">
        <f>'Fund Balance Projection'!K5</f>
        <v>0</v>
      </c>
      <c r="K5" s="111">
        <f>'Fund Balance Projection'!L5</f>
        <v>0</v>
      </c>
      <c r="L5" s="111">
        <f>'Fund Balance Projection'!M5</f>
        <v>0</v>
      </c>
      <c r="M5" s="111">
        <f>'Fund Balance Projection'!N5</f>
        <v>0</v>
      </c>
      <c r="N5" s="111">
        <f>'Fund Balance Projection'!O5</f>
        <v>0</v>
      </c>
      <c r="O5" s="111">
        <f>'Fund Balance Projection'!P5</f>
        <v>0</v>
      </c>
      <c r="P5"/>
      <c r="Q5"/>
      <c r="R5"/>
      <c r="S5"/>
      <c r="T5"/>
      <c r="U5"/>
      <c r="V5"/>
      <c r="W5"/>
      <c r="X5"/>
      <c r="Y5"/>
      <c r="Z5"/>
      <c r="AA5"/>
      <c r="AB5"/>
      <c r="AC5"/>
    </row>
    <row r="6" spans="1:29" s="1" customFormat="1" ht="19.5" customHeight="1" x14ac:dyDescent="0.2">
      <c r="A6" s="40" t="s">
        <v>0</v>
      </c>
      <c r="B6" s="99">
        <f>'Fund Balance Projection'!C45</f>
        <v>2544227</v>
      </c>
      <c r="C6" s="100">
        <f>'Fund Balance Projection'!D45</f>
        <v>2551627.5700000003</v>
      </c>
      <c r="D6" s="112">
        <f>'Fund Balance Projection'!E45</f>
        <v>228164.88</v>
      </c>
      <c r="E6" s="113">
        <f>'Fund Balance Projection'!F45</f>
        <v>203837.05025454552</v>
      </c>
      <c r="F6" s="113">
        <f>'Fund Balance Projection'!G45</f>
        <v>130007.84345454542</v>
      </c>
      <c r="G6" s="113">
        <f>'Fund Balance Projection'!H45</f>
        <v>228446.78585454554</v>
      </c>
      <c r="H6" s="113">
        <f>'Fund Balance Projection'!I45</f>
        <v>216141.91805454553</v>
      </c>
      <c r="I6" s="113">
        <f>'Fund Balance Projection'!J45</f>
        <v>228446.78585454554</v>
      </c>
      <c r="J6" s="113">
        <f>'Fund Balance Projection'!K45</f>
        <v>228446.78585454554</v>
      </c>
      <c r="K6" s="113">
        <f>'Fund Balance Projection'!L45</f>
        <v>228446.78585454554</v>
      </c>
      <c r="L6" s="113">
        <f>'Fund Balance Projection'!M45</f>
        <v>130007.84345454542</v>
      </c>
      <c r="M6" s="113">
        <f>'Fund Balance Projection'!N45</f>
        <v>154617.57905454549</v>
      </c>
      <c r="N6" s="113">
        <f>'Fund Balance Projection'!O45</f>
        <v>314580.86045454553</v>
      </c>
      <c r="O6" s="113">
        <f>'Fund Balance Projection'!P45</f>
        <v>260482.45185454542</v>
      </c>
      <c r="P6"/>
      <c r="Q6"/>
      <c r="R6"/>
      <c r="S6"/>
      <c r="T6"/>
      <c r="U6"/>
      <c r="V6"/>
      <c r="W6"/>
      <c r="X6"/>
      <c r="Y6"/>
      <c r="Z6"/>
      <c r="AA6"/>
      <c r="AB6"/>
      <c r="AC6"/>
    </row>
    <row r="7" spans="1:29" s="1" customFormat="1" ht="19.5" customHeight="1" x14ac:dyDescent="0.2">
      <c r="A7" s="40" t="s">
        <v>76</v>
      </c>
      <c r="B7" s="99">
        <f>'Fund Balance Projection'!C58</f>
        <v>2761587</v>
      </c>
      <c r="C7" s="100">
        <f>'Fund Balance Projection'!D58</f>
        <v>2761587</v>
      </c>
      <c r="D7" s="112">
        <f>'Fund Balance Projection'!E58</f>
        <v>264934.42</v>
      </c>
      <c r="E7" s="113">
        <f>'Fund Balance Projection'!F58</f>
        <v>229882.25000000003</v>
      </c>
      <c r="F7" s="113">
        <f>'Fund Balance Projection'!G58</f>
        <v>229882.25000000003</v>
      </c>
      <c r="G7" s="113">
        <f>'Fund Balance Projection'!H58</f>
        <v>225987.56444444443</v>
      </c>
      <c r="H7" s="113">
        <f>'Fund Balance Projection'!I58</f>
        <v>225987.56444444443</v>
      </c>
      <c r="I7" s="113">
        <f>'Fund Balance Projection'!J58</f>
        <v>225987.56444444443</v>
      </c>
      <c r="J7" s="113">
        <f>'Fund Balance Projection'!K58</f>
        <v>225987.56444444443</v>
      </c>
      <c r="K7" s="113">
        <f>'Fund Balance Projection'!L58</f>
        <v>225987.5644444444</v>
      </c>
      <c r="L7" s="113">
        <f>'Fund Balance Projection'!M58</f>
        <v>225987.5644444444</v>
      </c>
      <c r="M7" s="113">
        <f>'Fund Balance Projection'!N58</f>
        <v>225987.56444444443</v>
      </c>
      <c r="N7" s="113">
        <f>'Fund Balance Projection'!O58</f>
        <v>225987.56444444449</v>
      </c>
      <c r="O7" s="113">
        <f>'Fund Balance Projection'!P58</f>
        <v>228987.56444444461</v>
      </c>
      <c r="P7"/>
      <c r="Q7"/>
      <c r="R7"/>
      <c r="S7"/>
      <c r="T7"/>
      <c r="U7"/>
      <c r="V7"/>
      <c r="W7"/>
      <c r="X7"/>
      <c r="Y7"/>
      <c r="Z7"/>
      <c r="AA7"/>
      <c r="AB7"/>
      <c r="AC7"/>
    </row>
    <row r="8" spans="1:29" s="1" customFormat="1" ht="19.5" customHeight="1" x14ac:dyDescent="0.2">
      <c r="A8" s="40" t="s">
        <v>43</v>
      </c>
      <c r="B8" s="115">
        <f>'Fund Balance Projection'!C60</f>
        <v>451000</v>
      </c>
      <c r="C8" s="116">
        <f>'Fund Balance Projection'!D60</f>
        <v>560143</v>
      </c>
      <c r="D8" s="117"/>
      <c r="E8" s="117"/>
      <c r="F8" s="117"/>
      <c r="G8" s="117"/>
      <c r="H8" s="117"/>
      <c r="I8" s="117"/>
      <c r="J8" s="117"/>
      <c r="K8" s="117"/>
      <c r="L8" s="117"/>
      <c r="M8" s="117"/>
      <c r="N8" s="117"/>
      <c r="O8" s="117"/>
      <c r="P8"/>
      <c r="Q8"/>
      <c r="R8"/>
      <c r="S8"/>
      <c r="T8"/>
      <c r="U8"/>
      <c r="V8"/>
      <c r="W8"/>
      <c r="X8"/>
      <c r="Y8"/>
      <c r="Z8"/>
      <c r="AA8"/>
      <c r="AB8"/>
      <c r="AC8"/>
    </row>
    <row r="9" spans="1:29" s="1" customFormat="1" ht="19.5" customHeight="1" thickBot="1" x14ac:dyDescent="0.25">
      <c r="A9" s="40" t="s">
        <v>108</v>
      </c>
      <c r="B9" s="101">
        <f>'Fund Balance Projection'!C65</f>
        <v>233640</v>
      </c>
      <c r="C9" s="102">
        <f>'Fund Balance Projection'!D65</f>
        <v>350183.5700000003</v>
      </c>
      <c r="D9" s="114">
        <f>'Fund Balance Projection'!E65</f>
        <v>523373.46</v>
      </c>
      <c r="E9" s="114">
        <f>'Fund Balance Projection'!F65</f>
        <v>497328.2602545456</v>
      </c>
      <c r="F9" s="114">
        <f>'Fund Balance Projection'!G65</f>
        <v>397453.85370909097</v>
      </c>
      <c r="G9" s="114">
        <f>'Fund Balance Projection'!H65</f>
        <v>399913.07511919207</v>
      </c>
      <c r="H9" s="114">
        <f>'Fund Balance Projection'!I65</f>
        <v>390067.42872929311</v>
      </c>
      <c r="I9" s="114">
        <f>'Fund Balance Projection'!J65</f>
        <v>392526.65013939416</v>
      </c>
      <c r="J9" s="114">
        <f>'Fund Balance Projection'!K65</f>
        <v>394985.8715494952</v>
      </c>
      <c r="K9" s="114">
        <f>'Fund Balance Projection'!L65</f>
        <v>397445.09295959631</v>
      </c>
      <c r="L9" s="114">
        <f>'Fund Balance Projection'!M65</f>
        <v>301465.3719696973</v>
      </c>
      <c r="M9" s="114">
        <f>'Fund Balance Projection'!N65</f>
        <v>230095.38657979836</v>
      </c>
      <c r="N9" s="114">
        <f>'Fund Balance Projection'!O65</f>
        <v>318688.6825898994</v>
      </c>
      <c r="O9" s="114">
        <f>'Fund Balance Projection'!P65</f>
        <v>350183.57000000018</v>
      </c>
      <c r="P9"/>
      <c r="Q9"/>
      <c r="R9"/>
      <c r="S9"/>
      <c r="T9"/>
      <c r="U9"/>
      <c r="V9"/>
      <c r="W9"/>
      <c r="X9"/>
      <c r="Y9"/>
      <c r="Z9"/>
      <c r="AA9"/>
      <c r="AB9"/>
      <c r="AC9"/>
    </row>
  </sheetData>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92057-2C2D-4DFA-B3EA-FF3AF3D3A700}">
  <dimension ref="B2:D12"/>
  <sheetViews>
    <sheetView topLeftCell="A7" workbookViewId="0">
      <selection activeCell="I45" sqref="I45"/>
    </sheetView>
  </sheetViews>
  <sheetFormatPr defaultRowHeight="12.75" x14ac:dyDescent="0.2"/>
  <sheetData>
    <row r="2" spans="2:4" ht="20.25" x14ac:dyDescent="0.3">
      <c r="C2" s="77" t="s">
        <v>110</v>
      </c>
    </row>
    <row r="3" spans="2:4" ht="18.75" x14ac:dyDescent="0.3">
      <c r="B3" s="78" t="s">
        <v>93</v>
      </c>
      <c r="C3" t="s">
        <v>121</v>
      </c>
    </row>
    <row r="4" spans="2:4" ht="18.75" x14ac:dyDescent="0.3">
      <c r="B4" s="78" t="s">
        <v>93</v>
      </c>
      <c r="C4" t="s">
        <v>94</v>
      </c>
    </row>
    <row r="5" spans="2:4" ht="18.75" x14ac:dyDescent="0.3">
      <c r="B5" s="78"/>
      <c r="D5" t="s">
        <v>95</v>
      </c>
    </row>
    <row r="6" spans="2:4" ht="18.75" x14ac:dyDescent="0.3">
      <c r="B6" s="78" t="s">
        <v>93</v>
      </c>
      <c r="C6" s="23" t="s">
        <v>127</v>
      </c>
    </row>
    <row r="7" spans="2:4" ht="18.75" x14ac:dyDescent="0.3">
      <c r="B7" s="78" t="s">
        <v>93</v>
      </c>
      <c r="C7" t="s">
        <v>96</v>
      </c>
    </row>
    <row r="8" spans="2:4" ht="18.75" x14ac:dyDescent="0.3">
      <c r="B8" s="78" t="s">
        <v>93</v>
      </c>
      <c r="C8" t="s">
        <v>122</v>
      </c>
    </row>
    <row r="9" spans="2:4" ht="18.75" x14ac:dyDescent="0.3">
      <c r="B9" s="78" t="s">
        <v>93</v>
      </c>
      <c r="C9" t="s">
        <v>97</v>
      </c>
    </row>
    <row r="10" spans="2:4" ht="18.75" x14ac:dyDescent="0.3">
      <c r="B10" s="78" t="s">
        <v>93</v>
      </c>
      <c r="C10" t="s">
        <v>107</v>
      </c>
    </row>
    <row r="11" spans="2:4" ht="18.75" x14ac:dyDescent="0.3">
      <c r="B11" s="78" t="s">
        <v>93</v>
      </c>
      <c r="C11" t="s">
        <v>98</v>
      </c>
    </row>
    <row r="12" spans="2:4" ht="18.75" x14ac:dyDescent="0.3">
      <c r="B12" s="78" t="s">
        <v>93</v>
      </c>
      <c r="C12" t="s">
        <v>106</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Fund Balance Projection</vt:lpstr>
      <vt:lpstr>Summary</vt:lpstr>
      <vt:lpstr>Assumptions</vt:lpstr>
      <vt:lpstr>'Fund Balance Projection'!Print_Area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Valued Gateway Customer</dc:creator>
  <cp:lastModifiedBy>Casandra Doll</cp:lastModifiedBy>
  <cp:lastPrinted>2010-02-05T00:40:01Z</cp:lastPrinted>
  <dcterms:created xsi:type="dcterms:W3CDTF">1998-01-11T12:15:28Z</dcterms:created>
  <dcterms:modified xsi:type="dcterms:W3CDTF">2024-10-11T22:16:13Z</dcterms:modified>
</cp:coreProperties>
</file>